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13_ncr:1_{99A964DE-1A1B-467F-90F1-C47BDA57C553}" xr6:coauthVersionLast="47" xr6:coauthVersionMax="47" xr10:uidLastSave="{00000000-0000-0000-0000-000000000000}"/>
  <bookViews>
    <workbookView xWindow="-120" yWindow="-120" windowWidth="38640" windowHeight="21240" activeTab="1" xr2:uid="{0CC8A6CC-B4D7-4C5A-8F3F-BC06F4DE8D28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8" i="2"/>
  <c r="D17" i="2"/>
  <c r="D16" i="2"/>
  <c r="D6" i="2"/>
  <c r="B86" i="2"/>
  <c r="C10" i="2"/>
  <c r="B10" i="2"/>
  <c r="D8" i="2"/>
  <c r="D7" i="2"/>
  <c r="D5" i="2"/>
  <c r="C22" i="2"/>
  <c r="B22" i="2"/>
  <c r="D21" i="2"/>
  <c r="D20" i="2"/>
  <c r="D19" i="2"/>
  <c r="E54" i="2"/>
  <c r="C57" i="2" s="1"/>
  <c r="C58" i="2" s="1"/>
  <c r="C59" i="2" s="1"/>
  <c r="C41" i="2"/>
  <c r="B41" i="2"/>
  <c r="D39" i="2"/>
  <c r="D38" i="2"/>
  <c r="A10" i="1"/>
  <c r="A11" i="1"/>
  <c r="A9" i="1"/>
  <c r="C32" i="2"/>
  <c r="B32" i="2"/>
  <c r="D30" i="2"/>
  <c r="D31" i="2"/>
  <c r="D29" i="2"/>
  <c r="C10" i="1"/>
  <c r="C11" i="1"/>
  <c r="C9" i="1"/>
  <c r="C6" i="1"/>
  <c r="C7" i="1"/>
  <c r="C8" i="1"/>
  <c r="C5" i="1"/>
  <c r="I6" i="1"/>
  <c r="J6" i="1" s="1"/>
  <c r="I7" i="1"/>
  <c r="I8" i="1"/>
  <c r="I5" i="1"/>
  <c r="H6" i="1"/>
  <c r="H7" i="1"/>
  <c r="H8" i="1"/>
  <c r="H5" i="1"/>
  <c r="C60" i="2" l="1"/>
  <c r="C61" i="2" s="1"/>
  <c r="C62" i="2" s="1"/>
  <c r="C63" i="2" s="1"/>
  <c r="C64" i="2" s="1"/>
  <c r="C65" i="2" s="1"/>
  <c r="D10" i="2"/>
  <c r="D22" i="2"/>
  <c r="D41" i="2"/>
  <c r="D32" i="2"/>
  <c r="J5" i="1"/>
  <c r="J8" i="1"/>
  <c r="J7" i="1"/>
  <c r="C66" i="2" l="1"/>
  <c r="C67" i="2" s="1"/>
  <c r="C68" i="2" s="1"/>
  <c r="C69" i="2" s="1"/>
  <c r="C70" i="2" s="1"/>
  <c r="C71" i="2" s="1"/>
  <c r="C72" i="2" s="1"/>
  <c r="C73" i="2" s="1"/>
  <c r="E63" i="2"/>
</calcChain>
</file>

<file path=xl/sharedStrings.xml><?xml version="1.0" encoding="utf-8"?>
<sst xmlns="http://schemas.openxmlformats.org/spreadsheetml/2006/main" count="72" uniqueCount="45">
  <si>
    <t>Recoltes</t>
  </si>
  <si>
    <t>maxi autorisé</t>
  </si>
  <si>
    <t xml:space="preserve">% </t>
  </si>
  <si>
    <t>ares</t>
  </si>
  <si>
    <t>ouvrees</t>
  </si>
  <si>
    <t>difference en l globale</t>
  </si>
  <si>
    <t>difference en l par ouvree</t>
  </si>
  <si>
    <t>Prix des Richebourg</t>
  </si>
  <si>
    <t>ENTRE LE 01/08/2019 ET LE 31/07/2020</t>
  </si>
  <si>
    <t>CA</t>
  </si>
  <si>
    <t>NB DE BT EQ 75 CL</t>
  </si>
  <si>
    <t>PRIX MOYEN HT/ BT</t>
  </si>
  <si>
    <t>PRIX MOYEN /LITRE</t>
  </si>
  <si>
    <t>Total</t>
  </si>
  <si>
    <t>RB17</t>
  </si>
  <si>
    <t>RB18</t>
  </si>
  <si>
    <t>RB19</t>
  </si>
  <si>
    <t>ENTRE LE 01/08/2020 ET LE 31/07/2021</t>
  </si>
  <si>
    <t>%</t>
  </si>
  <si>
    <t>RB16</t>
  </si>
  <si>
    <t>RB13</t>
  </si>
  <si>
    <t>RB14</t>
  </si>
  <si>
    <t>RB15</t>
  </si>
  <si>
    <t>ENTRE LE 01/08/2017 ET LE 31/07/2018</t>
  </si>
  <si>
    <t>ENTRE LE 01/08/2018 ET LE 31/07/2019</t>
  </si>
  <si>
    <t>La perte de rendement est évaluée dans les études entre 4,6 hl et 9hl par hectare et par an.</t>
  </si>
  <si>
    <t>Calcul de la base pour évalutation du prix par ouvrée pour le Richebourg</t>
  </si>
  <si>
    <t>Base</t>
  </si>
  <si>
    <t>decote</t>
  </si>
  <si>
    <t>Prix median a 10 ans</t>
  </si>
  <si>
    <t>AVEC 33BT</t>
  </si>
  <si>
    <t>Nous avons choisi en accord avec les experts de fixer ce seuil à5,9hl par an et par Ha.</t>
  </si>
  <si>
    <t>Ceci représente donc 25,25 litre par an et par ouvrée (sachant qu'1 ouvrée = 4,28ares)</t>
  </si>
  <si>
    <t>Soit 33 bouteilles</t>
  </si>
  <si>
    <t>Prix moyen estimé des 2020 entre 400 et 450 € de base donc 425 pour l'évalutaion</t>
  </si>
  <si>
    <t>En cde</t>
  </si>
  <si>
    <t>En 3 ans augmentation de</t>
  </si>
  <si>
    <r>
      <t xml:space="preserve">Soit en moyenne </t>
    </r>
    <r>
      <rPr>
        <b/>
        <u/>
        <sz val="11"/>
        <color rgb="FF0070C0"/>
        <rFont val="Calibri"/>
        <family val="2"/>
        <scheme val="minor"/>
      </rPr>
      <t xml:space="preserve">14,45% par an </t>
    </r>
    <r>
      <rPr>
        <b/>
        <sz val="11"/>
        <color rgb="FF0070C0"/>
        <rFont val="Calibri"/>
        <family val="2"/>
        <scheme val="minor"/>
      </rPr>
      <t>d'augmentation</t>
    </r>
  </si>
  <si>
    <t>Calcul du prix moyen pour evaluation de la perte due au deficit de rendement imputable au deperissement du vignoble</t>
  </si>
  <si>
    <t>Prix non retenu car incertitude sur l'avenir dans le contexte du covid</t>
  </si>
  <si>
    <t>Si l'on considère 33 bouteilles au prix moyen retenu de 577,20€ HT, sur les 15 années restant à courir du bail à long terme,cela donne 285714€</t>
  </si>
  <si>
    <t>(en commande au moment de l'évaluation)</t>
  </si>
  <si>
    <t xml:space="preserve">336 + 425 / 2 </t>
  </si>
  <si>
    <t>Donc pour année 2020 on retient un prix ponderé de:</t>
  </si>
  <si>
    <t>soit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</si>
</sst>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0" fontId="0" fillId="0" borderId="0" xfId="0" applyFill="1" applyBorder="1"/>
    <xf numFmtId="0" fontId="0" fillId="0" borderId="1" xfId="0" applyFill="1" applyBorder="1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0" fillId="0" borderId="0" xfId="0" applyBorder="1"/>
    <xf numFmtId="0" fontId="3" fillId="0" borderId="1" xfId="0" applyFont="1" applyBorder="1"/>
    <xf numFmtId="0" fontId="2" fillId="0" borderId="0" xfId="0" applyFont="1" applyFill="1"/>
    <xf numFmtId="0" fontId="3" fillId="0" borderId="1" xfId="0" applyFont="1" applyFill="1" applyBorder="1"/>
    <xf numFmtId="10" fontId="0" fillId="0" borderId="0" xfId="0" applyNumberFormat="1" applyAlignme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10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10" fontId="4" fillId="0" borderId="0" xfId="0" applyNumberFormat="1" applyFont="1"/>
    <xf numFmtId="6" fontId="2" fillId="2" borderId="0" xfId="0" applyNumberFormat="1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52FB-DA65-409F-8D9E-C296023E99DF}">
  <dimension ref="A4:J11"/>
  <sheetViews>
    <sheetView workbookViewId="0">
      <selection activeCell="F7" sqref="F7"/>
    </sheetView>
  </sheetViews>
  <sheetFormatPr baseColWidth="10" defaultRowHeight="15" x14ac:dyDescent="0.25"/>
  <sheetData>
    <row r="4" spans="1:10" x14ac:dyDescent="0.25">
      <c r="C4" t="s">
        <v>4</v>
      </c>
      <c r="D4" t="s">
        <v>3</v>
      </c>
      <c r="F4" t="s">
        <v>0</v>
      </c>
      <c r="G4" t="s">
        <v>1</v>
      </c>
      <c r="H4" t="s">
        <v>2</v>
      </c>
      <c r="I4" t="s">
        <v>5</v>
      </c>
      <c r="J4" t="s">
        <v>6</v>
      </c>
    </row>
    <row r="5" spans="1:10" x14ac:dyDescent="0.25">
      <c r="C5" s="2">
        <f>D5/4.28</f>
        <v>14.018691588785046</v>
      </c>
      <c r="D5" s="2">
        <v>60</v>
      </c>
      <c r="E5" s="1">
        <v>2018</v>
      </c>
      <c r="F5" s="2">
        <v>2622</v>
      </c>
      <c r="G5" s="2">
        <v>2640</v>
      </c>
      <c r="H5" s="2">
        <f>F5/G5</f>
        <v>0.99318181818181817</v>
      </c>
      <c r="I5" s="2">
        <f>G5-F5</f>
        <v>18</v>
      </c>
      <c r="J5" s="2">
        <f>I5/C5</f>
        <v>1.284</v>
      </c>
    </row>
    <row r="6" spans="1:10" x14ac:dyDescent="0.25">
      <c r="C6" s="2">
        <f t="shared" ref="C6:C11" si="0">D6/4.28</f>
        <v>14.018691588785046</v>
      </c>
      <c r="D6" s="2">
        <v>60</v>
      </c>
      <c r="E6" s="2">
        <v>2019</v>
      </c>
      <c r="F6" s="2">
        <v>2280</v>
      </c>
      <c r="G6" s="2">
        <v>2520</v>
      </c>
      <c r="H6" s="2">
        <f t="shared" ref="H6:H8" si="1">F6/G6</f>
        <v>0.90476190476190477</v>
      </c>
      <c r="I6" s="2">
        <f t="shared" ref="I6:I8" si="2">G6-F6</f>
        <v>240</v>
      </c>
      <c r="J6" s="2">
        <f t="shared" ref="J6:J8" si="3">I6/C6</f>
        <v>17.12</v>
      </c>
    </row>
    <row r="7" spans="1:10" x14ac:dyDescent="0.25">
      <c r="C7" s="2">
        <f t="shared" si="0"/>
        <v>14.018691588785046</v>
      </c>
      <c r="D7" s="2">
        <v>60</v>
      </c>
      <c r="E7" s="2">
        <v>2020</v>
      </c>
      <c r="F7" s="2">
        <v>2280</v>
      </c>
      <c r="G7" s="2">
        <v>2520</v>
      </c>
      <c r="H7" s="2">
        <f t="shared" si="1"/>
        <v>0.90476190476190477</v>
      </c>
      <c r="I7" s="2">
        <f t="shared" si="2"/>
        <v>240</v>
      </c>
      <c r="J7" s="2">
        <f t="shared" si="3"/>
        <v>17.12</v>
      </c>
    </row>
    <row r="8" spans="1:10" x14ac:dyDescent="0.25">
      <c r="C8" s="2">
        <f t="shared" si="0"/>
        <v>14.018691588785046</v>
      </c>
      <c r="D8" s="2">
        <v>60</v>
      </c>
      <c r="E8" s="2">
        <v>2021</v>
      </c>
      <c r="F8" s="2">
        <v>2166</v>
      </c>
      <c r="G8" s="2">
        <v>2520</v>
      </c>
      <c r="H8" s="2">
        <f t="shared" si="1"/>
        <v>0.85952380952380958</v>
      </c>
      <c r="I8" s="2">
        <f t="shared" si="2"/>
        <v>354</v>
      </c>
      <c r="J8" s="3">
        <f t="shared" si="3"/>
        <v>25.252000000000002</v>
      </c>
    </row>
    <row r="9" spans="1:10" x14ac:dyDescent="0.25">
      <c r="A9">
        <f>B9*C9</f>
        <v>13233644.859813085</v>
      </c>
      <c r="B9">
        <v>1200000</v>
      </c>
      <c r="C9" s="5">
        <f t="shared" si="0"/>
        <v>11.028037383177571</v>
      </c>
      <c r="D9" s="5">
        <v>47.2</v>
      </c>
      <c r="E9" s="5">
        <v>2022</v>
      </c>
      <c r="F9" s="2"/>
      <c r="G9" s="2"/>
      <c r="H9" s="2"/>
      <c r="I9" s="2"/>
      <c r="J9" s="2"/>
    </row>
    <row r="10" spans="1:10" x14ac:dyDescent="0.25">
      <c r="A10">
        <f t="shared" ref="A10:A11" si="4">B10*C10</f>
        <v>13233644.859813085</v>
      </c>
      <c r="B10">
        <v>1200000</v>
      </c>
      <c r="C10" s="5">
        <f t="shared" si="0"/>
        <v>11.028037383177571</v>
      </c>
      <c r="D10" s="5">
        <v>47.2</v>
      </c>
      <c r="E10" s="5">
        <v>2023</v>
      </c>
      <c r="F10" s="2"/>
      <c r="G10" s="2"/>
      <c r="H10" s="2"/>
      <c r="I10" s="2"/>
      <c r="J10" s="2"/>
    </row>
    <row r="11" spans="1:10" x14ac:dyDescent="0.25">
      <c r="A11">
        <f t="shared" si="4"/>
        <v>13233644.859813085</v>
      </c>
      <c r="B11">
        <v>1200000</v>
      </c>
      <c r="C11" s="5">
        <f t="shared" si="0"/>
        <v>11.028037383177571</v>
      </c>
      <c r="D11" s="5">
        <v>47.2</v>
      </c>
      <c r="E11" s="5">
        <v>2024</v>
      </c>
      <c r="F11" s="2"/>
      <c r="G11" s="2"/>
      <c r="H11" s="2"/>
      <c r="I11" s="2"/>
      <c r="J11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8FC9-AA23-48FE-9D8D-E35EBDA3D2B5}">
  <dimension ref="A1:V86"/>
  <sheetViews>
    <sheetView tabSelected="1" topLeftCell="A37" workbookViewId="0">
      <selection activeCell="I57" sqref="I57"/>
    </sheetView>
  </sheetViews>
  <sheetFormatPr baseColWidth="10" defaultRowHeight="15" x14ac:dyDescent="0.25"/>
  <cols>
    <col min="1" max="1" width="11.28515625" customWidth="1"/>
    <col min="4" max="4" width="18.28515625" bestFit="1" customWidth="1"/>
    <col min="5" max="5" width="18" bestFit="1" customWidth="1"/>
    <col min="7" max="7" width="12.28515625" customWidth="1"/>
  </cols>
  <sheetData>
    <row r="1" spans="1:11" x14ac:dyDescent="0.25">
      <c r="B1" t="s">
        <v>7</v>
      </c>
    </row>
    <row r="2" spans="1:11" x14ac:dyDescent="0.25">
      <c r="B2" t="s">
        <v>23</v>
      </c>
    </row>
    <row r="4" spans="1:11" x14ac:dyDescent="0.25">
      <c r="B4" t="s">
        <v>9</v>
      </c>
      <c r="C4" t="s">
        <v>10</v>
      </c>
      <c r="D4" t="s">
        <v>11</v>
      </c>
      <c r="E4" t="s">
        <v>12</v>
      </c>
    </row>
    <row r="5" spans="1:11" x14ac:dyDescent="0.25">
      <c r="A5" t="s">
        <v>22</v>
      </c>
      <c r="B5" s="2">
        <v>402465</v>
      </c>
      <c r="C5" s="2">
        <v>1532</v>
      </c>
      <c r="D5" s="2">
        <f>B5/C5</f>
        <v>262.70561357702348</v>
      </c>
    </row>
    <row r="6" spans="1:11" x14ac:dyDescent="0.25">
      <c r="A6" t="s">
        <v>21</v>
      </c>
      <c r="B6" s="2">
        <v>230288</v>
      </c>
      <c r="C6" s="2">
        <v>872</v>
      </c>
      <c r="D6" s="2">
        <f>B6/C6</f>
        <v>264.09174311926603</v>
      </c>
      <c r="G6" s="9"/>
      <c r="H6" s="9"/>
      <c r="I6" s="9"/>
      <c r="J6" s="9"/>
      <c r="K6" s="9"/>
    </row>
    <row r="7" spans="1:11" x14ac:dyDescent="0.25">
      <c r="A7" t="s">
        <v>19</v>
      </c>
      <c r="B7" s="2">
        <v>135630</v>
      </c>
      <c r="C7" s="2">
        <v>505</v>
      </c>
      <c r="D7" s="2">
        <f>B7/C7</f>
        <v>268.57425742574259</v>
      </c>
      <c r="G7" s="9"/>
      <c r="H7" s="9"/>
      <c r="I7" s="9"/>
      <c r="J7" s="9"/>
      <c r="K7" s="9"/>
    </row>
    <row r="8" spans="1:11" x14ac:dyDescent="0.25">
      <c r="A8" t="s">
        <v>14</v>
      </c>
      <c r="B8" s="2">
        <v>130001</v>
      </c>
      <c r="C8" s="2">
        <v>456</v>
      </c>
      <c r="D8" s="2">
        <f t="shared" ref="D8:D10" si="0">B8/C8</f>
        <v>285.08991228070175</v>
      </c>
      <c r="G8" s="9"/>
      <c r="H8" s="9"/>
      <c r="I8" s="9"/>
      <c r="J8" s="9"/>
      <c r="K8" s="9"/>
    </row>
    <row r="9" spans="1:11" x14ac:dyDescent="0.25">
      <c r="A9" t="s">
        <v>20</v>
      </c>
      <c r="B9" s="2">
        <v>115652</v>
      </c>
      <c r="C9" s="2">
        <v>448</v>
      </c>
      <c r="D9" s="2">
        <f t="shared" si="0"/>
        <v>258.15178571428572</v>
      </c>
      <c r="G9" s="9"/>
      <c r="H9" s="9"/>
      <c r="I9" s="9"/>
      <c r="J9" s="9"/>
      <c r="K9" s="9"/>
    </row>
    <row r="10" spans="1:11" x14ac:dyDescent="0.25">
      <c r="A10" t="s">
        <v>13</v>
      </c>
      <c r="B10" s="7">
        <f>SUM(B5:B9)</f>
        <v>1014036</v>
      </c>
      <c r="C10" s="7">
        <f>SUM(C5:C9)</f>
        <v>3813</v>
      </c>
      <c r="D10" s="8">
        <f t="shared" si="0"/>
        <v>265.94177812745869</v>
      </c>
      <c r="E10">
        <v>2018</v>
      </c>
      <c r="H10" s="9"/>
      <c r="I10" s="9"/>
      <c r="J10" s="9"/>
      <c r="K10" s="9"/>
    </row>
    <row r="12" spans="1:11" x14ac:dyDescent="0.25">
      <c r="B12" t="s">
        <v>7</v>
      </c>
    </row>
    <row r="13" spans="1:11" x14ac:dyDescent="0.25">
      <c r="B13" t="s">
        <v>24</v>
      </c>
    </row>
    <row r="15" spans="1:11" x14ac:dyDescent="0.25">
      <c r="B15" t="s">
        <v>9</v>
      </c>
      <c r="C15" t="s">
        <v>10</v>
      </c>
      <c r="D15" t="s">
        <v>11</v>
      </c>
      <c r="E15" t="s">
        <v>12</v>
      </c>
      <c r="G15" s="9"/>
      <c r="H15" s="20"/>
      <c r="I15" s="9"/>
      <c r="J15" s="9"/>
      <c r="K15" s="9"/>
    </row>
    <row r="16" spans="1:11" x14ac:dyDescent="0.25">
      <c r="A16" t="s">
        <v>20</v>
      </c>
      <c r="B16" s="2">
        <v>195311</v>
      </c>
      <c r="C16" s="2">
        <v>765</v>
      </c>
      <c r="D16" s="2">
        <f>B16/C16</f>
        <v>255.30849673202616</v>
      </c>
      <c r="G16" s="9"/>
      <c r="H16" s="9"/>
      <c r="I16" s="9"/>
      <c r="J16" s="9"/>
      <c r="K16" s="9"/>
    </row>
    <row r="17" spans="1:22" x14ac:dyDescent="0.25">
      <c r="A17" t="s">
        <v>21</v>
      </c>
      <c r="B17" s="2">
        <v>62577</v>
      </c>
      <c r="C17" s="2">
        <v>219</v>
      </c>
      <c r="D17" s="2">
        <f>B17/C17</f>
        <v>285.73972602739724</v>
      </c>
      <c r="G17" s="9"/>
      <c r="H17" s="9"/>
      <c r="I17" s="9"/>
      <c r="J17" s="9"/>
      <c r="K17" s="9"/>
    </row>
    <row r="18" spans="1:22" x14ac:dyDescent="0.25">
      <c r="A18" t="s">
        <v>22</v>
      </c>
      <c r="B18" s="2">
        <v>20490</v>
      </c>
      <c r="C18" s="2">
        <v>78</v>
      </c>
      <c r="D18" s="2">
        <f>B18/C18</f>
        <v>262.69230769230768</v>
      </c>
      <c r="G18" s="9"/>
      <c r="H18" s="9"/>
      <c r="I18" s="9"/>
      <c r="J18" s="9"/>
      <c r="K18" s="9"/>
    </row>
    <row r="19" spans="1:22" x14ac:dyDescent="0.25">
      <c r="A19" t="s">
        <v>19</v>
      </c>
      <c r="B19" s="2">
        <v>280618</v>
      </c>
      <c r="C19" s="2">
        <v>1014</v>
      </c>
      <c r="D19" s="2">
        <f>B19/C19</f>
        <v>276.74358974358972</v>
      </c>
      <c r="G19" s="9"/>
      <c r="H19" s="9"/>
      <c r="I19" s="9"/>
      <c r="J19" s="9"/>
      <c r="K19" s="9"/>
    </row>
    <row r="20" spans="1:22" x14ac:dyDescent="0.25">
      <c r="A20" t="s">
        <v>14</v>
      </c>
      <c r="B20" s="2">
        <v>177306</v>
      </c>
      <c r="C20" s="2">
        <v>644</v>
      </c>
      <c r="D20" s="2">
        <f t="shared" ref="D20:D22" si="1">B20/C20</f>
        <v>275.31987577639751</v>
      </c>
      <c r="G20" s="9"/>
      <c r="H20" s="9"/>
      <c r="I20" s="9"/>
      <c r="J20" s="9"/>
      <c r="K20" s="9"/>
    </row>
    <row r="21" spans="1:22" x14ac:dyDescent="0.25">
      <c r="A21" t="s">
        <v>15</v>
      </c>
      <c r="B21" s="2">
        <v>165014</v>
      </c>
      <c r="C21" s="2">
        <v>456</v>
      </c>
      <c r="D21" s="2">
        <f t="shared" si="1"/>
        <v>361.87280701754383</v>
      </c>
    </row>
    <row r="22" spans="1:22" x14ac:dyDescent="0.25">
      <c r="A22" t="s">
        <v>13</v>
      </c>
      <c r="B22" s="7">
        <f>SUM(B16:B21)</f>
        <v>901316</v>
      </c>
      <c r="C22" s="7">
        <f>SUM(C16:C21)</f>
        <v>3176</v>
      </c>
      <c r="D22" s="8">
        <f t="shared" si="1"/>
        <v>283.78967254408059</v>
      </c>
      <c r="E22">
        <v>2019</v>
      </c>
    </row>
    <row r="25" spans="1:22" x14ac:dyDescent="0.25">
      <c r="B25" t="s">
        <v>7</v>
      </c>
    </row>
    <row r="26" spans="1:22" x14ac:dyDescent="0.25">
      <c r="B26" t="s">
        <v>8</v>
      </c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N27" s="4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B28" t="s">
        <v>9</v>
      </c>
      <c r="C28" t="s">
        <v>10</v>
      </c>
      <c r="D28" t="s">
        <v>11</v>
      </c>
      <c r="E28" t="s">
        <v>12</v>
      </c>
      <c r="N28" s="4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t="s">
        <v>14</v>
      </c>
      <c r="B29" s="2">
        <v>309025</v>
      </c>
      <c r="C29" s="2">
        <v>1085</v>
      </c>
      <c r="D29" s="2">
        <f>B29/C29</f>
        <v>284.81566820276498</v>
      </c>
      <c r="N29" s="4"/>
      <c r="O29" s="4"/>
      <c r="P29" s="4"/>
      <c r="Q29" s="4"/>
      <c r="R29" s="4"/>
      <c r="S29" s="4"/>
      <c r="T29" s="4"/>
      <c r="U29" s="4"/>
      <c r="V29" s="4"/>
    </row>
    <row r="30" spans="1:22" x14ac:dyDescent="0.25">
      <c r="A30" t="s">
        <v>15</v>
      </c>
      <c r="B30" s="2">
        <v>300002.40000000002</v>
      </c>
      <c r="C30" s="2">
        <v>912</v>
      </c>
      <c r="D30" s="2">
        <f t="shared" ref="D30:D32" si="2">B30/C30</f>
        <v>328.95000000000005</v>
      </c>
      <c r="N30" s="4"/>
      <c r="O30" s="4"/>
      <c r="P30" s="4"/>
      <c r="Q30" s="4"/>
      <c r="R30" s="4"/>
      <c r="S30" s="4"/>
      <c r="T30" s="4"/>
      <c r="U30" s="4"/>
      <c r="V30" s="4"/>
    </row>
    <row r="31" spans="1:22" x14ac:dyDescent="0.25">
      <c r="A31" t="s">
        <v>16</v>
      </c>
      <c r="B31" s="2">
        <v>207944</v>
      </c>
      <c r="C31" s="2">
        <v>735</v>
      </c>
      <c r="D31" s="2">
        <f t="shared" si="2"/>
        <v>282.91700680272106</v>
      </c>
      <c r="N31" s="4"/>
      <c r="O31" s="4"/>
      <c r="P31" s="4"/>
      <c r="Q31" s="4"/>
      <c r="R31" s="4"/>
      <c r="S31" s="4"/>
      <c r="T31" s="4"/>
      <c r="U31" s="4"/>
      <c r="V31" s="4"/>
    </row>
    <row r="32" spans="1:22" x14ac:dyDescent="0.25">
      <c r="A32" t="s">
        <v>13</v>
      </c>
      <c r="B32" s="7">
        <f>SUM(B29:B31)</f>
        <v>816971.4</v>
      </c>
      <c r="C32" s="7">
        <f>SUM(C29:C31)</f>
        <v>2732</v>
      </c>
      <c r="D32" s="8">
        <f t="shared" si="2"/>
        <v>299.03784773060028</v>
      </c>
      <c r="E32">
        <v>2020</v>
      </c>
      <c r="H32" s="13"/>
      <c r="N32" s="4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N33" s="4"/>
      <c r="O33" s="4"/>
      <c r="P33" s="21"/>
      <c r="Q33" s="21"/>
      <c r="R33" s="21"/>
      <c r="S33" s="4"/>
      <c r="T33" s="4"/>
      <c r="U33" s="4"/>
      <c r="V33" s="4"/>
    </row>
    <row r="34" spans="1:22" x14ac:dyDescent="0.25">
      <c r="B34" t="s">
        <v>7</v>
      </c>
      <c r="D34" t="s">
        <v>41</v>
      </c>
      <c r="G34" s="13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B35" t="s">
        <v>17</v>
      </c>
      <c r="G35" s="13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G36" s="13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t="s">
        <v>35</v>
      </c>
      <c r="B37" t="s">
        <v>9</v>
      </c>
      <c r="C37" t="s">
        <v>10</v>
      </c>
      <c r="D37" t="s">
        <v>11</v>
      </c>
      <c r="E37" t="s">
        <v>12</v>
      </c>
      <c r="G37" s="13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t="s">
        <v>15</v>
      </c>
      <c r="B38" s="2">
        <v>440091.9</v>
      </c>
      <c r="C38" s="2">
        <v>1409</v>
      </c>
      <c r="D38" s="2">
        <f>B38/C38</f>
        <v>312.3434350603265</v>
      </c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t="s">
        <v>16</v>
      </c>
      <c r="B39" s="2">
        <v>226827</v>
      </c>
      <c r="C39" s="2">
        <v>573</v>
      </c>
      <c r="D39" s="2">
        <f t="shared" ref="D39:D41" si="3">B39/C39</f>
        <v>395.85863874345551</v>
      </c>
      <c r="G39" s="13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5">
      <c r="B40" s="2"/>
      <c r="C40" s="2"/>
      <c r="D40" s="2"/>
      <c r="G40" s="9"/>
      <c r="H40" s="9"/>
      <c r="I40" s="9"/>
      <c r="J40" s="9"/>
      <c r="K40" s="9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A41" t="s">
        <v>13</v>
      </c>
      <c r="B41" s="7">
        <f>SUM(B38:B40)</f>
        <v>666918.9</v>
      </c>
      <c r="C41" s="7">
        <f>SUM(C38:C40)</f>
        <v>1982</v>
      </c>
      <c r="D41" s="8">
        <f t="shared" si="3"/>
        <v>336.48784056508578</v>
      </c>
      <c r="E41">
        <v>2021</v>
      </c>
      <c r="N41" s="4"/>
      <c r="O41" s="21"/>
      <c r="P41" s="21"/>
      <c r="Q41" s="21"/>
      <c r="R41" s="4"/>
      <c r="S41" s="4"/>
      <c r="T41" s="4"/>
      <c r="U41" s="4"/>
      <c r="V41" s="4"/>
    </row>
    <row r="42" spans="1:22" x14ac:dyDescent="0.25">
      <c r="B42" s="7"/>
      <c r="C42" s="7"/>
      <c r="D42" s="11"/>
      <c r="N42" s="4"/>
      <c r="O42" s="21"/>
      <c r="P42" s="21"/>
      <c r="Q42" s="21"/>
      <c r="R42" s="4"/>
      <c r="S42" s="4"/>
      <c r="T42" s="4"/>
      <c r="U42" s="4"/>
      <c r="V42" s="4"/>
    </row>
    <row r="43" spans="1:22" x14ac:dyDescent="0.25">
      <c r="A43" s="6" t="s">
        <v>34</v>
      </c>
      <c r="B43" s="7"/>
      <c r="C43" s="7"/>
      <c r="D43" s="11"/>
      <c r="N43" s="4"/>
      <c r="O43" s="4"/>
      <c r="P43" s="4"/>
      <c r="Q43" s="4"/>
      <c r="R43" s="4"/>
      <c r="S43" s="4"/>
      <c r="T43" s="4"/>
      <c r="U43" s="4"/>
      <c r="V43" s="4"/>
    </row>
    <row r="44" spans="1:22" ht="15" customHeight="1" x14ac:dyDescent="0.25">
      <c r="A44" t="s">
        <v>43</v>
      </c>
      <c r="B44" s="7"/>
      <c r="C44" s="7"/>
      <c r="D44" s="11"/>
    </row>
    <row r="45" spans="1:22" x14ac:dyDescent="0.25">
      <c r="A45" t="s">
        <v>42</v>
      </c>
      <c r="B45" s="27" t="s">
        <v>44</v>
      </c>
      <c r="C45" s="26">
        <v>381</v>
      </c>
      <c r="D45" s="11"/>
    </row>
    <row r="46" spans="1:22" s="4" customFormat="1" x14ac:dyDescent="0.25">
      <c r="B46" s="21"/>
      <c r="C46" s="21"/>
      <c r="D46" s="21"/>
    </row>
    <row r="47" spans="1:22" s="4" customFormat="1" x14ac:dyDescent="0.25">
      <c r="C47" s="24" t="s">
        <v>36</v>
      </c>
      <c r="D47" s="24"/>
      <c r="E47" s="25">
        <v>0.4335</v>
      </c>
      <c r="G47" s="22"/>
    </row>
    <row r="48" spans="1:22" s="4" customFormat="1" x14ac:dyDescent="0.25">
      <c r="C48" s="24" t="s">
        <v>37</v>
      </c>
      <c r="D48" s="24"/>
      <c r="E48" s="24"/>
      <c r="G48" s="23"/>
    </row>
    <row r="49" spans="1:7" s="4" customFormat="1" x14ac:dyDescent="0.25">
      <c r="G49" s="23"/>
    </row>
    <row r="50" spans="1:7" s="4" customFormat="1" x14ac:dyDescent="0.25">
      <c r="G50" s="23"/>
    </row>
    <row r="51" spans="1:7" x14ac:dyDescent="0.25">
      <c r="A51" s="17" t="s">
        <v>38</v>
      </c>
      <c r="B51" s="17"/>
      <c r="C51" s="17"/>
      <c r="D51" s="17"/>
      <c r="E51" s="17"/>
      <c r="F51" s="17"/>
    </row>
    <row r="52" spans="1:7" x14ac:dyDescent="0.25">
      <c r="A52" s="17"/>
      <c r="B52" s="17"/>
      <c r="C52" s="17"/>
      <c r="D52" s="17"/>
      <c r="E52" s="17"/>
      <c r="F52" s="17"/>
    </row>
    <row r="53" spans="1:7" x14ac:dyDescent="0.25">
      <c r="D53" s="14" t="s">
        <v>18</v>
      </c>
      <c r="E53" s="6">
        <v>14.45</v>
      </c>
    </row>
    <row r="54" spans="1:7" x14ac:dyDescent="0.25">
      <c r="E54">
        <f>1+E53%</f>
        <v>1.1445000000000001</v>
      </c>
    </row>
    <row r="55" spans="1:7" x14ac:dyDescent="0.25">
      <c r="B55" s="2">
        <v>2020</v>
      </c>
      <c r="C55" s="2">
        <v>300</v>
      </c>
    </row>
    <row r="56" spans="1:7" x14ac:dyDescent="0.25">
      <c r="B56" s="2">
        <v>2021</v>
      </c>
      <c r="C56" s="10">
        <v>336.4</v>
      </c>
    </row>
    <row r="57" spans="1:7" x14ac:dyDescent="0.25">
      <c r="B57" s="2">
        <v>2022</v>
      </c>
      <c r="C57" s="10">
        <f>C56*$E$54</f>
        <v>385.00979999999998</v>
      </c>
    </row>
    <row r="58" spans="1:7" x14ac:dyDescent="0.25">
      <c r="B58" s="2">
        <v>2023</v>
      </c>
      <c r="C58" s="10">
        <f>C57*$E$54</f>
        <v>440.64371610000001</v>
      </c>
    </row>
    <row r="59" spans="1:7" x14ac:dyDescent="0.25">
      <c r="B59" s="2">
        <v>2024</v>
      </c>
      <c r="C59" s="10">
        <f>C58*$E$54</f>
        <v>504.31673307645002</v>
      </c>
    </row>
    <row r="60" spans="1:7" x14ac:dyDescent="0.25">
      <c r="B60" s="12">
        <v>2025</v>
      </c>
      <c r="C60" s="3">
        <f>C59*$E$54</f>
        <v>577.19050100599713</v>
      </c>
      <c r="D60" s="15">
        <v>577.20000000000005</v>
      </c>
      <c r="E60" s="6" t="s">
        <v>30</v>
      </c>
    </row>
    <row r="61" spans="1:7" x14ac:dyDescent="0.25">
      <c r="B61" s="2">
        <v>2026</v>
      </c>
      <c r="C61" s="2">
        <f>C60*$E$54</f>
        <v>660.59452840136373</v>
      </c>
    </row>
    <row r="62" spans="1:7" x14ac:dyDescent="0.25">
      <c r="B62" s="2">
        <v>2027</v>
      </c>
      <c r="C62" s="2">
        <f t="shared" ref="C62:C73" si="4">C61*1.1</f>
        <v>726.65398124150022</v>
      </c>
      <c r="E62" t="s">
        <v>29</v>
      </c>
    </row>
    <row r="63" spans="1:7" x14ac:dyDescent="0.25">
      <c r="B63" s="2">
        <v>2028</v>
      </c>
      <c r="C63" s="2">
        <f t="shared" si="4"/>
        <v>799.31937936565032</v>
      </c>
      <c r="E63">
        <f>(C65+C64+C63+C62+C61+C60+C59+C58+C57+C56+C55)/10</f>
        <v>657.65564055256141</v>
      </c>
    </row>
    <row r="64" spans="1:7" x14ac:dyDescent="0.25">
      <c r="B64" s="2">
        <v>2029</v>
      </c>
      <c r="C64" s="2">
        <f t="shared" si="4"/>
        <v>879.2513173022154</v>
      </c>
      <c r="E64" s="16" t="s">
        <v>39</v>
      </c>
      <c r="F64" s="16"/>
    </row>
    <row r="65" spans="1:6" x14ac:dyDescent="0.25">
      <c r="B65" s="2">
        <v>2030</v>
      </c>
      <c r="C65" s="2">
        <f t="shared" si="4"/>
        <v>967.17644903243706</v>
      </c>
      <c r="E65" s="16"/>
      <c r="F65" s="16"/>
    </row>
    <row r="66" spans="1:6" x14ac:dyDescent="0.25">
      <c r="B66" s="2">
        <v>2031</v>
      </c>
      <c r="C66" s="2">
        <f t="shared" si="4"/>
        <v>1063.8940939356808</v>
      </c>
      <c r="E66" s="16"/>
      <c r="F66" s="16"/>
    </row>
    <row r="67" spans="1:6" x14ac:dyDescent="0.25">
      <c r="B67" s="2">
        <v>2032</v>
      </c>
      <c r="C67" s="2">
        <f t="shared" si="4"/>
        <v>1170.283503329249</v>
      </c>
    </row>
    <row r="68" spans="1:6" x14ac:dyDescent="0.25">
      <c r="B68" s="2">
        <v>2033</v>
      </c>
      <c r="C68" s="2">
        <f t="shared" si="4"/>
        <v>1287.3118536621739</v>
      </c>
    </row>
    <row r="69" spans="1:6" x14ac:dyDescent="0.25">
      <c r="B69" s="2">
        <v>2034</v>
      </c>
      <c r="C69" s="2">
        <f t="shared" si="4"/>
        <v>1416.0430390283914</v>
      </c>
    </row>
    <row r="70" spans="1:6" x14ac:dyDescent="0.25">
      <c r="B70" s="2">
        <v>2035</v>
      </c>
      <c r="C70" s="2">
        <f t="shared" si="4"/>
        <v>1557.6473429312307</v>
      </c>
    </row>
    <row r="71" spans="1:6" x14ac:dyDescent="0.25">
      <c r="B71" s="2">
        <v>2036</v>
      </c>
      <c r="C71" s="2">
        <f t="shared" si="4"/>
        <v>1713.4120772243539</v>
      </c>
    </row>
    <row r="72" spans="1:6" x14ac:dyDescent="0.25">
      <c r="B72" s="2">
        <v>2037</v>
      </c>
      <c r="C72" s="2">
        <f t="shared" si="4"/>
        <v>1884.7532849467893</v>
      </c>
    </row>
    <row r="73" spans="1:6" x14ac:dyDescent="0.25">
      <c r="B73" s="2">
        <v>2038</v>
      </c>
      <c r="C73" s="2">
        <f t="shared" si="4"/>
        <v>2073.2286134414685</v>
      </c>
    </row>
    <row r="75" spans="1:6" x14ac:dyDescent="0.25">
      <c r="A75" t="s">
        <v>25</v>
      </c>
    </row>
    <row r="76" spans="1:6" x14ac:dyDescent="0.25">
      <c r="A76" t="s">
        <v>31</v>
      </c>
    </row>
    <row r="77" spans="1:6" x14ac:dyDescent="0.25">
      <c r="A77" t="s">
        <v>32</v>
      </c>
    </row>
    <row r="78" spans="1:6" x14ac:dyDescent="0.25">
      <c r="A78" t="s">
        <v>33</v>
      </c>
    </row>
    <row r="80" spans="1:6" x14ac:dyDescent="0.25">
      <c r="A80" s="16" t="s">
        <v>40</v>
      </c>
      <c r="B80" s="16"/>
      <c r="C80" s="16"/>
      <c r="D80" s="16"/>
      <c r="E80" s="16"/>
      <c r="F80" s="16"/>
    </row>
    <row r="81" spans="1:6" x14ac:dyDescent="0.25">
      <c r="A81" s="16"/>
      <c r="B81" s="16"/>
      <c r="C81" s="16"/>
      <c r="D81" s="16"/>
      <c r="E81" s="16"/>
      <c r="F81" s="16"/>
    </row>
    <row r="82" spans="1:6" x14ac:dyDescent="0.25">
      <c r="A82" s="18"/>
      <c r="B82" s="18"/>
      <c r="C82" s="18"/>
      <c r="D82" s="18"/>
      <c r="E82" s="18"/>
      <c r="F82" s="18"/>
    </row>
    <row r="83" spans="1:6" x14ac:dyDescent="0.25">
      <c r="A83" t="s">
        <v>26</v>
      </c>
    </row>
    <row r="84" spans="1:6" x14ac:dyDescent="0.25">
      <c r="A84" s="19" t="s">
        <v>27</v>
      </c>
      <c r="B84" s="2">
        <v>1200000</v>
      </c>
    </row>
    <row r="85" spans="1:6" x14ac:dyDescent="0.25">
      <c r="A85" s="19" t="s">
        <v>28</v>
      </c>
      <c r="B85" s="2">
        <v>285714</v>
      </c>
    </row>
    <row r="86" spans="1:6" x14ac:dyDescent="0.25">
      <c r="B86" s="6">
        <f>B84-B85</f>
        <v>914286</v>
      </c>
    </row>
  </sheetData>
  <mergeCells count="4">
    <mergeCell ref="G47:G50"/>
    <mergeCell ref="A51:F52"/>
    <mergeCell ref="A80:F81"/>
    <mergeCell ref="E64:F6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2022-09-21T11:54:07Z</cp:lastPrinted>
  <dcterms:created xsi:type="dcterms:W3CDTF">2022-09-16T14:52:41Z</dcterms:created>
  <dcterms:modified xsi:type="dcterms:W3CDTF">2022-09-21T13:49:33Z</dcterms:modified>
</cp:coreProperties>
</file>