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C9914215-0834-4C75-BC26-E27188E02E44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I36" i="2" s="1"/>
  <c r="M36" i="2" s="1"/>
  <c r="E35" i="2"/>
  <c r="I35" i="2" s="1"/>
  <c r="M35" i="2" s="1"/>
  <c r="O35" i="2" s="1"/>
  <c r="E20" i="2"/>
  <c r="F20" i="2" s="1"/>
  <c r="E21" i="2"/>
  <c r="F21" i="2" s="1"/>
  <c r="E22" i="2"/>
  <c r="F22" i="2" s="1"/>
  <c r="E23" i="2"/>
  <c r="F23" i="2" s="1"/>
  <c r="E24" i="2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19" i="2"/>
  <c r="F19" i="2" s="1"/>
  <c r="E18" i="2"/>
  <c r="F18" i="2" s="1"/>
  <c r="E17" i="2"/>
  <c r="F17" i="2" s="1"/>
  <c r="M31" i="2"/>
  <c r="M32" i="2"/>
  <c r="O32" i="2" s="1"/>
  <c r="M33" i="2"/>
  <c r="O33" i="2" s="1"/>
  <c r="M38" i="2"/>
  <c r="O38" i="2" s="1"/>
  <c r="M15" i="2"/>
  <c r="I41" i="2"/>
  <c r="M41" i="2" s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17" i="2"/>
  <c r="O13" i="2"/>
  <c r="I13" i="2"/>
  <c r="M12" i="2"/>
  <c r="O12" i="2" s="1"/>
  <c r="M11" i="2"/>
  <c r="O11" i="2" s="1"/>
  <c r="I40" i="2"/>
  <c r="M40" i="2" s="1"/>
  <c r="I38" i="2"/>
  <c r="F24" i="2"/>
  <c r="I24" i="2" s="1"/>
  <c r="M24" i="2" s="1"/>
  <c r="I39" i="2"/>
  <c r="M39" i="2" s="1"/>
  <c r="I37" i="2"/>
  <c r="M37" i="2" s="1"/>
  <c r="M47" i="2"/>
  <c r="O49" i="2"/>
  <c r="O51" i="2"/>
  <c r="I7" i="2"/>
  <c r="M7" i="2" s="1"/>
  <c r="O7" i="2" s="1"/>
  <c r="O50" i="2"/>
  <c r="O52" i="2"/>
  <c r="J52" i="1"/>
  <c r="I19" i="2" l="1"/>
  <c r="M19" i="2" s="1"/>
  <c r="N19" i="2" s="1"/>
  <c r="O19" i="2" s="1"/>
  <c r="I17" i="2"/>
  <c r="M17" i="2" s="1"/>
  <c r="N17" i="2" s="1"/>
  <c r="O17" i="2" s="1"/>
  <c r="I29" i="2"/>
  <c r="M29" i="2" s="1"/>
  <c r="N29" i="2" s="1"/>
  <c r="O29" i="2" s="1"/>
  <c r="I28" i="2"/>
  <c r="M28" i="2" s="1"/>
  <c r="N28" i="2" s="1"/>
  <c r="O28" i="2" s="1"/>
  <c r="I26" i="2"/>
  <c r="M26" i="2" s="1"/>
  <c r="N26" i="2" s="1"/>
  <c r="O26" i="2" s="1"/>
  <c r="I30" i="2"/>
  <c r="M30" i="2" s="1"/>
  <c r="N30" i="2" s="1"/>
  <c r="O30" i="2" s="1"/>
  <c r="I25" i="2"/>
  <c r="M25" i="2" s="1"/>
  <c r="N25" i="2" s="1"/>
  <c r="O25" i="2" s="1"/>
  <c r="I27" i="2"/>
  <c r="M27" i="2" s="1"/>
  <c r="N27" i="2" s="1"/>
  <c r="O27" i="2" s="1"/>
  <c r="I18" i="2"/>
  <c r="M18" i="2" s="1"/>
  <c r="N18" i="2" s="1"/>
  <c r="O18" i="2" s="1"/>
  <c r="I20" i="2"/>
  <c r="M20" i="2" s="1"/>
  <c r="N20" i="2" s="1"/>
  <c r="O20" i="2" s="1"/>
  <c r="I22" i="2"/>
  <c r="M22" i="2" s="1"/>
  <c r="I21" i="2"/>
  <c r="M21" i="2" s="1"/>
  <c r="N21" i="2" s="1"/>
  <c r="O21" i="2" s="1"/>
  <c r="I23" i="2"/>
  <c r="M23" i="2" s="1"/>
  <c r="N23" i="2" s="1"/>
  <c r="O23" i="2" s="1"/>
  <c r="N22" i="2"/>
  <c r="O22" i="2" s="1"/>
  <c r="O40" i="2"/>
  <c r="O39" i="2"/>
  <c r="N24" i="2"/>
  <c r="O24" i="2" s="1"/>
  <c r="O41" i="2"/>
  <c r="O37" i="2"/>
  <c r="O36" i="2"/>
  <c r="I52" i="1"/>
  <c r="O53" i="2" l="1"/>
  <c r="O54" i="2" s="1"/>
  <c r="M54" i="2"/>
  <c r="E31" i="1"/>
  <c r="B59" i="2" l="1"/>
  <c r="B57" i="2"/>
  <c r="B58" i="2"/>
  <c r="G92" i="1"/>
  <c r="B61" i="2" l="1"/>
</calcChain>
</file>

<file path=xl/sharedStrings.xml><?xml version="1.0" encoding="utf-8"?>
<sst xmlns="http://schemas.openxmlformats.org/spreadsheetml/2006/main" count="246" uniqueCount="163">
  <si>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</si>
  <si>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</si>
  <si>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</si>
  <si>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</si>
  <si>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</si>
  <si>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</si>
  <si>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</si>
  <si>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</si>
  <si>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</si>
  <si>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</si>
  <si>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</si>
  <si>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</si>
  <si>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</si>
  <si>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</si>
  <si>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</si>
  <si>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</si>
  <si>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</si>
  <si>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</si>
  <si>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</si>
  <si>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</si>
  <si>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</si>
  <si>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</si>
  <si>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</si>
  <si>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</si>
  <si>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</si>
  <si>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</si>
  <si>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</si>
  <si>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</si>
  <si>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</si>
  <si>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</si>
  <si>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</si>
  <si>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</si>
  <si>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</si>
  <si>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</si>
  <si>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</si>
  <si>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</si>
  <si>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</si>
  <si>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</si>
  <si>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</si>
  <si>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</si>
  <si>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</si>
  <si>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</si>
  <si>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</si>
  <si>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</si>
  <si>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</si>
  <si>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</si>
  <si>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</si>
  <si>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</si>
  <si>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</si>
  <si>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</si>
  <si>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</si>
  <si>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</si>
  <si>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</si>
  <si>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</si>
  <si>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</si>
  <si>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</si>
  <si>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</si>
  <si>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</si>
  <si>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</si>
  <si>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</si>
  <si>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</si>
  <si>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</si>
  <si>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</si>
  <si>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</si>
  <si>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</si>
  <si>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</si>
  <si>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</si>
  <si>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</si>
  <si>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</si>
  <si>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</si>
  <si>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</si>
  <si>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</si>
  <si>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</si>
  <si>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</si>
  <si>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</si>
  <si>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</si>
  <si>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</si>
  <si>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</si>
  <si>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</si>
  <si>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</si>
  <si>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</si>
  <si>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</si>
  <si>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</si>
  <si>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</si>
  <si>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</si>
  <si>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</si>
  <si>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</si>
  <si>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</si>
  <si>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</si>
  <si>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</si>
  <si>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</si>
  <si>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</si>
  <si>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</si>
  <si>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</si>
  <si>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</si>
  <si>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</si>
  <si>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</si>
  <si>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</si>
  <si>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</si>
  <si>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</si>
  <si>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</si>
  <si>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</si>
  <si>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</si>
  <si>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</si>
  <si>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</si>
  <si>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</si>
  <si>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</si>
  <si>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</si>
  <si>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</si>
  <si>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PERSO</t>
  </si>
  <si>
    <t>PROFESSIONNEL</t>
  </si>
  <si>
    <t>VALEUR POUR IFI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</si>
  <si>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</si>
  <si>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</si>
  <si>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</si>
  <si>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</si>
  <si>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</si>
  <si>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</si>
  <si>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 xml:space="preserve">PP </t>
  </si>
  <si>
    <t>18 MILLIONS PAR 665 PARTS dont 20 parts en PP pour Caro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</si>
  <si>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</si>
  <si>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</si>
  <si>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</si>
  <si>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</si>
  <si>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</si>
  <si>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>SCI CLEM</t>
  </si>
  <si>
    <t>Emprunt couvre donc valeur a 0</t>
  </si>
  <si>
    <t>Pas d'immobilier a ce jour</t>
  </si>
  <si>
    <t xml:space="preserve">Nb ouvrées </t>
  </si>
  <si>
    <t>NP</t>
  </si>
  <si>
    <t>PP</t>
  </si>
  <si>
    <t>Abt Indivision 40%?</t>
  </si>
  <si>
    <t>VIGNE BOURGOGNE AH84 ET AH85</t>
  </si>
  <si>
    <t>PAS ENCORE DE BAIL RESTE LE BAIL DOM PARENT</t>
  </si>
  <si>
    <t>On ne valorise que le quotient immobilier donc les MAV 120000€ par ouvréea hauteur de mon % de detention   et la valeur de la cave 100 K€</t>
  </si>
  <si>
    <t xml:space="preserve">SCI CLEM CARO A 50% </t>
  </si>
  <si>
    <t>NP à 60%</t>
  </si>
  <si>
    <t>VALEUR DE BASE selon age usufruitier</t>
  </si>
  <si>
    <t>VALEUR venale DE BASE</t>
  </si>
  <si>
    <t xml:space="preserve">Hors IFI </t>
  </si>
  <si>
    <t>=</t>
  </si>
  <si>
    <t>EXONERE IFI 100 %</t>
  </si>
  <si>
    <t>Valeur net emprunt au 01/01/26 (VALEUR APPROXIMATIVE)</t>
  </si>
  <si>
    <t>RESIDENCE PRINCIPALE AUGMENTEE</t>
  </si>
  <si>
    <t>Valeur apres abattements de 91% pour outil pro</t>
  </si>
  <si>
    <t>PART IMMO ASS VIE</t>
  </si>
  <si>
    <t>Echezeaux</t>
  </si>
  <si>
    <t>RICHEBOURG DE MIA</t>
  </si>
  <si>
    <t>VIGNES EN INDIVISION  A 1/3</t>
  </si>
  <si>
    <t>En Ha</t>
  </si>
  <si>
    <t>En ouvrée</t>
  </si>
  <si>
    <t>MATHIAS</t>
  </si>
  <si>
    <t>POUR IFI AU 18/02/2026</t>
  </si>
  <si>
    <t>Résidence principale POMMARD</t>
  </si>
  <si>
    <t>Holding MP</t>
  </si>
  <si>
    <t>VALEUR VENALE</t>
  </si>
  <si>
    <t>127701 PARTS EN NP et 1 part en PP  (valeur de la part en 2020 5€ pour base des RB a 622K€ donc il faut au moins etre a 2M€ l'ouvrée soit la part à 8€</t>
  </si>
  <si>
    <t>GFA Heritiers Gros part</t>
  </si>
  <si>
    <t>J'enleve les vignes en indivisions sous usfruit de maman</t>
  </si>
  <si>
    <t>Partie  5000000 à 10000000 à 1.25%</t>
  </si>
  <si>
    <t>Abt Indivision 30%</t>
  </si>
  <si>
    <t>Abt BLT 2% par année restant a courir</t>
  </si>
  <si>
    <t>%  d'abt en année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</si>
</sst>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0" fillId="0" borderId="1" xfId="1" applyNumberFormat="1" applyFont="1" applyFill="1" applyBorder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166" fontId="8" fillId="5" borderId="6" xfId="0" applyNumberFormat="1" applyFont="1" applyFill="1" applyBorder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166" fontId="21" fillId="0" borderId="0" xfId="1" applyNumberFormat="1" applyFont="1" applyBorder="1"/>
    <xf numFmtId="166" fontId="22" fillId="9" borderId="1" xfId="0" applyNumberFormat="1" applyFont="1" applyFill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166" fontId="22" fillId="10" borderId="1" xfId="0" applyNumberFormat="1" applyFont="1" applyFill="1" applyBorder="1"/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166" fontId="18" fillId="10" borderId="13" xfId="0" applyNumberFormat="1" applyFont="1" applyFill="1" applyBorder="1" applyAlignment="1">
      <alignment horizontal="center"/>
    </xf>
    <xf numFmtId="166" fontId="22" fillId="10" borderId="0" xfId="0" applyNumberFormat="1" applyFont="1" applyFill="1"/>
    <xf numFmtId="9" fontId="0" fillId="10" borderId="0" xfId="0" applyNumberFormat="1" applyFill="1"/>
    <xf numFmtId="0" fontId="23" fillId="10" borderId="12" xfId="0" applyFont="1" applyFill="1" applyBorder="1"/>
    <xf numFmtId="0" fontId="23" fillId="10" borderId="13" xfId="0" applyFont="1" applyFill="1" applyBorder="1"/>
    <xf numFmtId="0" fontId="0" fillId="11" borderId="0" xfId="0" applyFill="1"/>
    <xf numFmtId="0" fontId="2" fillId="0" borderId="1" xfId="0" applyFont="1" applyBorder="1"/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4" fontId="0" fillId="0" borderId="0" xfId="0" applyNumberFormat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10" borderId="12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6" fontId="0" fillId="0" borderId="0" xfId="0" applyNumberFormat="1"/>
    <xf numFmtId="2" fontId="18" fillId="0" borderId="0" xfId="0" applyNumberFormat="1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166" fontId="18" fillId="0" borderId="14" xfId="1" applyNumberFormat="1" applyFont="1" applyFill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65"/>
  <sheetViews>
    <sheetView tabSelected="1" workbookViewId="0">
      <selection activeCell="J17" sqref="J17"/>
    </sheetView>
  </sheetViews>
  <sheetFormatPr baseColWidth="10" defaultRowHeight="18.5" x14ac:dyDescent="0.45"/>
  <cols>
    <col min="2" max="2" width="42.1796875" bestFit="1" customWidth="1"/>
    <col min="3" max="3" width="24" customWidth="1"/>
    <col min="7" max="8" width="14.90625" customWidth="1"/>
    <col min="9" max="9" width="21.1796875" style="51" bestFit="1" customWidth="1"/>
    <col min="10" max="12" width="21.1796875" style="51" customWidth="1"/>
    <col min="13" max="14" width="23.90625" style="56" customWidth="1"/>
    <col min="15" max="15" width="18.453125" customWidth="1"/>
  </cols>
  <sheetData>
    <row r="2" spans="1:17" ht="18.5" customHeight="1" x14ac:dyDescent="0.35">
      <c r="B2" t="s">
        <v>151</v>
      </c>
      <c r="G2" s="134" t="s">
        <v>138</v>
      </c>
      <c r="H2" s="134" t="s">
        <v>137</v>
      </c>
      <c r="I2" s="134" t="s">
        <v>111</v>
      </c>
      <c r="J2" s="124" t="s">
        <v>160</v>
      </c>
      <c r="K2" s="124" t="s">
        <v>161</v>
      </c>
      <c r="L2" s="124" t="s">
        <v>162</v>
      </c>
      <c r="M2" s="126" t="s">
        <v>144</v>
      </c>
      <c r="N2" s="124" t="s">
        <v>131</v>
      </c>
      <c r="O2" s="124" t="s">
        <v>108</v>
      </c>
    </row>
    <row r="3" spans="1:17" ht="14.5" x14ac:dyDescent="0.35">
      <c r="B3" s="123">
        <v>46071</v>
      </c>
      <c r="G3" s="135"/>
      <c r="H3" s="135"/>
      <c r="I3" s="135"/>
      <c r="J3" s="125"/>
      <c r="K3" s="125"/>
      <c r="L3" s="125"/>
      <c r="M3" s="127"/>
      <c r="N3" s="125"/>
      <c r="O3" s="125"/>
    </row>
    <row r="4" spans="1:17" ht="18.5" customHeight="1" x14ac:dyDescent="0.35">
      <c r="G4" s="135"/>
      <c r="H4" s="135"/>
      <c r="I4" s="135"/>
      <c r="J4" s="125"/>
      <c r="K4" s="125"/>
      <c r="L4" s="125"/>
      <c r="M4" s="127"/>
      <c r="N4" s="125"/>
      <c r="O4" s="125"/>
    </row>
    <row r="5" spans="1:17" ht="21" x14ac:dyDescent="0.5">
      <c r="B5" s="62" t="s">
        <v>152</v>
      </c>
      <c r="C5" s="53"/>
      <c r="D5" s="53"/>
      <c r="E5" s="53"/>
      <c r="F5" s="53"/>
      <c r="G5" s="136"/>
      <c r="H5" s="136"/>
      <c r="I5" s="136"/>
      <c r="J5" s="125"/>
      <c r="K5" s="125"/>
      <c r="L5" s="125"/>
      <c r="M5" s="127"/>
      <c r="N5" s="125"/>
      <c r="O5" s="125"/>
    </row>
    <row r="6" spans="1:17" x14ac:dyDescent="0.45">
      <c r="B6" s="1"/>
      <c r="C6" s="1"/>
      <c r="D6" s="1"/>
      <c r="E6" s="1"/>
      <c r="F6" s="1"/>
      <c r="G6" s="1"/>
      <c r="H6" s="1"/>
      <c r="I6" s="50"/>
      <c r="J6" s="147"/>
      <c r="K6" s="147"/>
      <c r="L6" s="147"/>
    </row>
    <row r="7" spans="1:17" x14ac:dyDescent="0.45">
      <c r="B7" s="137" t="s">
        <v>153</v>
      </c>
      <c r="C7" s="138"/>
      <c r="D7" s="138"/>
      <c r="E7" s="139"/>
      <c r="F7" s="66"/>
      <c r="G7" s="68">
        <v>400000</v>
      </c>
      <c r="H7" s="68"/>
      <c r="I7" s="69">
        <f>G7*0.7</f>
        <v>280000</v>
      </c>
      <c r="J7" s="69"/>
      <c r="K7" s="69"/>
      <c r="L7" s="69"/>
      <c r="M7" s="70">
        <f>I7</f>
        <v>280000</v>
      </c>
      <c r="N7" s="95"/>
      <c r="O7" s="71">
        <f>M7</f>
        <v>280000</v>
      </c>
    </row>
    <row r="8" spans="1:17" x14ac:dyDescent="0.45">
      <c r="B8" s="140" t="s">
        <v>104</v>
      </c>
      <c r="C8" s="141"/>
      <c r="D8" s="141"/>
      <c r="E8" s="142"/>
      <c r="F8" s="67"/>
      <c r="G8" s="1"/>
      <c r="H8" s="1"/>
      <c r="I8" s="50"/>
      <c r="J8" s="147"/>
      <c r="K8" s="147"/>
      <c r="L8" s="147"/>
    </row>
    <row r="9" spans="1:17" x14ac:dyDescent="0.45">
      <c r="B9" s="131" t="s">
        <v>110</v>
      </c>
      <c r="C9" s="132"/>
      <c r="D9" s="132"/>
      <c r="E9" s="132"/>
      <c r="F9" s="132"/>
      <c r="G9" s="132"/>
      <c r="H9" s="132"/>
      <c r="I9" s="133"/>
      <c r="J9" s="148"/>
      <c r="K9" s="148"/>
      <c r="L9" s="148"/>
    </row>
    <row r="10" spans="1:17" x14ac:dyDescent="0.45">
      <c r="B10" s="1"/>
      <c r="C10" s="1"/>
      <c r="D10" s="1" t="s">
        <v>122</v>
      </c>
      <c r="E10" s="1" t="s">
        <v>128</v>
      </c>
      <c r="F10" s="1"/>
      <c r="G10" s="48" t="s">
        <v>121</v>
      </c>
      <c r="H10" s="48"/>
      <c r="I10" s="52"/>
      <c r="J10" s="52"/>
      <c r="K10" s="52"/>
      <c r="L10" s="52"/>
      <c r="M10" s="55"/>
      <c r="N10" s="55"/>
      <c r="O10" s="1"/>
      <c r="P10" s="63"/>
    </row>
    <row r="11" spans="1:17" x14ac:dyDescent="0.45">
      <c r="B11" s="1"/>
      <c r="C11" s="1" t="s">
        <v>125</v>
      </c>
      <c r="D11" s="1"/>
      <c r="E11" s="1"/>
      <c r="F11" s="1"/>
      <c r="G11" s="72"/>
      <c r="H11" s="72"/>
      <c r="I11" s="69">
        <v>0</v>
      </c>
      <c r="J11" s="69"/>
      <c r="K11" s="69"/>
      <c r="L11" s="69"/>
      <c r="M11" s="73">
        <f>I11*0.2</f>
        <v>0</v>
      </c>
      <c r="N11" s="73"/>
      <c r="O11" s="68">
        <f>M11*(1-P11)</f>
        <v>0</v>
      </c>
      <c r="P11" s="63">
        <v>0.3</v>
      </c>
      <c r="Q11" t="s">
        <v>126</v>
      </c>
    </row>
    <row r="12" spans="1:17" x14ac:dyDescent="0.45">
      <c r="B12" s="1"/>
      <c r="C12" s="1" t="s">
        <v>154</v>
      </c>
      <c r="D12" s="1"/>
      <c r="E12" s="87"/>
      <c r="F12" s="87"/>
      <c r="G12" s="68"/>
      <c r="H12" s="68"/>
      <c r="I12" s="74">
        <v>0</v>
      </c>
      <c r="J12" s="74"/>
      <c r="K12" s="74"/>
      <c r="L12" s="74"/>
      <c r="M12" s="73">
        <f t="shared" ref="M12" si="0">I12*0.2</f>
        <v>0</v>
      </c>
      <c r="N12" s="73"/>
      <c r="O12" s="68">
        <f>M12*(1-P12)</f>
        <v>0</v>
      </c>
      <c r="P12" s="63">
        <v>0.3</v>
      </c>
      <c r="Q12" t="s">
        <v>127</v>
      </c>
    </row>
    <row r="13" spans="1:17" x14ac:dyDescent="0.45">
      <c r="A13" t="s">
        <v>129</v>
      </c>
      <c r="B13" s="1" t="s">
        <v>133</v>
      </c>
      <c r="C13" s="1" t="s">
        <v>132</v>
      </c>
      <c r="D13" s="1">
        <v>0.23400000000000001</v>
      </c>
      <c r="E13" s="87">
        <v>5.46</v>
      </c>
      <c r="F13" s="87"/>
      <c r="G13" s="68">
        <v>3500</v>
      </c>
      <c r="H13" s="68"/>
      <c r="I13" s="74">
        <f>G13*E13</f>
        <v>19110</v>
      </c>
      <c r="J13" s="74"/>
      <c r="K13" s="74"/>
      <c r="L13" s="74"/>
      <c r="M13" s="74">
        <v>19110</v>
      </c>
      <c r="N13" s="73"/>
      <c r="O13" s="68">
        <f>M13*(1-P13)</f>
        <v>15288</v>
      </c>
      <c r="P13" s="63">
        <v>0.2</v>
      </c>
    </row>
    <row r="14" spans="1:17" x14ac:dyDescent="0.45">
      <c r="B14" s="104"/>
      <c r="C14" s="105"/>
      <c r="D14" s="105"/>
      <c r="E14" s="106"/>
      <c r="F14" s="106"/>
      <c r="G14" s="107"/>
      <c r="H14" s="107"/>
      <c r="I14" s="108"/>
      <c r="J14" s="108"/>
      <c r="K14" s="108"/>
      <c r="L14" s="108"/>
      <c r="M14" s="73"/>
      <c r="N14" s="73"/>
      <c r="O14" s="68"/>
      <c r="P14" s="63"/>
    </row>
    <row r="15" spans="1:17" x14ac:dyDescent="0.45">
      <c r="A15" s="118" t="s">
        <v>139</v>
      </c>
      <c r="B15" s="131" t="s">
        <v>148</v>
      </c>
      <c r="C15" s="132"/>
      <c r="D15" s="132"/>
      <c r="E15" s="132"/>
      <c r="F15" s="132"/>
      <c r="G15" s="132"/>
      <c r="H15" s="132"/>
      <c r="I15" s="133"/>
      <c r="J15" s="122"/>
      <c r="K15" s="122"/>
      <c r="L15" s="122"/>
      <c r="M15" s="73">
        <f>I15*0.09</f>
        <v>0</v>
      </c>
      <c r="N15" s="73"/>
      <c r="O15" s="68"/>
      <c r="P15" s="63"/>
    </row>
    <row r="16" spans="1:17" x14ac:dyDescent="0.45">
      <c r="A16" s="118"/>
      <c r="B16" s="120"/>
      <c r="C16" s="121"/>
      <c r="D16" s="121" t="s">
        <v>149</v>
      </c>
      <c r="E16" s="121" t="s">
        <v>150</v>
      </c>
      <c r="F16" s="121"/>
      <c r="G16" s="121" t="s">
        <v>155</v>
      </c>
      <c r="H16" s="121"/>
      <c r="I16" s="122"/>
      <c r="J16" s="122"/>
      <c r="K16" s="122"/>
      <c r="L16" s="122"/>
      <c r="M16" s="73"/>
      <c r="N16" s="73"/>
      <c r="O16" s="68"/>
      <c r="P16" s="63"/>
    </row>
    <row r="17" spans="1:18" x14ac:dyDescent="0.45">
      <c r="A17" s="118" t="s">
        <v>136</v>
      </c>
      <c r="B17" s="1" t="s">
        <v>120</v>
      </c>
      <c r="C17" s="1" t="s">
        <v>11</v>
      </c>
      <c r="D17" s="1">
        <v>0.13339999999999999</v>
      </c>
      <c r="E17" s="89">
        <f>D17*10000/428</f>
        <v>3.1168224299065419</v>
      </c>
      <c r="F17" s="89">
        <f>E17/3</f>
        <v>1.0389408099688473</v>
      </c>
      <c r="G17" s="90">
        <v>150000</v>
      </c>
      <c r="H17" s="90">
        <f>G17*0.6</f>
        <v>90000</v>
      </c>
      <c r="I17" s="74">
        <f>H17*F17</f>
        <v>93504.672897196258</v>
      </c>
      <c r="J17" s="74"/>
      <c r="K17" s="74"/>
      <c r="L17" s="74"/>
      <c r="M17" s="73">
        <f t="shared" ref="M17:M41" si="1">I17*0.09</f>
        <v>8415.4205607476633</v>
      </c>
      <c r="N17" s="96">
        <f>M17*0.6</f>
        <v>5049.2523364485978</v>
      </c>
      <c r="O17" s="68">
        <f>N17*(1-P17)</f>
        <v>3534.4766355140182</v>
      </c>
      <c r="P17" s="94">
        <v>0.3</v>
      </c>
    </row>
    <row r="18" spans="1:18" x14ac:dyDescent="0.45">
      <c r="A18" s="118" t="s">
        <v>136</v>
      </c>
      <c r="B18" s="1" t="s">
        <v>120</v>
      </c>
      <c r="C18" s="1" t="s">
        <v>6</v>
      </c>
      <c r="D18" s="1">
        <v>0.3367</v>
      </c>
      <c r="E18" s="89">
        <f>D18*10000/428</f>
        <v>7.8668224299065423</v>
      </c>
      <c r="F18" s="89">
        <f t="shared" ref="F18:F30" si="2">E18/3</f>
        <v>2.6222741433021808</v>
      </c>
      <c r="G18" s="90">
        <v>70000</v>
      </c>
      <c r="H18" s="90">
        <f t="shared" ref="H18:H30" si="3">G18*0.6</f>
        <v>42000</v>
      </c>
      <c r="I18" s="74">
        <f t="shared" ref="I18:I30" si="4">H18*F18</f>
        <v>110135.5140186916</v>
      </c>
      <c r="J18" s="74"/>
      <c r="K18" s="74"/>
      <c r="L18" s="74"/>
      <c r="M18" s="73">
        <f t="shared" si="1"/>
        <v>9912.1962616822439</v>
      </c>
      <c r="N18" s="96">
        <f t="shared" ref="N18:N30" si="5">M18*0.6</f>
        <v>5947.3177570093458</v>
      </c>
      <c r="O18" s="68">
        <f t="shared" ref="O18:O30" si="6">N18*(1-P18)</f>
        <v>4163.1224299065416</v>
      </c>
      <c r="P18" s="94">
        <v>0.3</v>
      </c>
    </row>
    <row r="19" spans="1:18" x14ac:dyDescent="0.45">
      <c r="A19" s="118" t="s">
        <v>136</v>
      </c>
      <c r="B19" s="1" t="s">
        <v>120</v>
      </c>
      <c r="C19" s="1" t="s">
        <v>5</v>
      </c>
      <c r="D19" s="1">
        <v>0.9335</v>
      </c>
      <c r="E19" s="89">
        <f>D19*10000/428</f>
        <v>21.810747663551403</v>
      </c>
      <c r="F19" s="89">
        <f t="shared" si="2"/>
        <v>7.2702492211838008</v>
      </c>
      <c r="G19" s="90">
        <v>5000</v>
      </c>
      <c r="H19" s="90">
        <f t="shared" si="3"/>
        <v>3000</v>
      </c>
      <c r="I19" s="74">
        <f t="shared" si="4"/>
        <v>21810.747663551403</v>
      </c>
      <c r="J19" s="74"/>
      <c r="K19" s="74"/>
      <c r="L19" s="74"/>
      <c r="M19" s="73">
        <f t="shared" si="1"/>
        <v>1962.9672897196263</v>
      </c>
      <c r="N19" s="96">
        <f t="shared" si="5"/>
        <v>1177.7803738317757</v>
      </c>
      <c r="O19" s="68">
        <f t="shared" si="6"/>
        <v>824.44626168224295</v>
      </c>
      <c r="P19" s="94">
        <v>0.3</v>
      </c>
    </row>
    <row r="20" spans="1:18" ht="30" x14ac:dyDescent="0.45">
      <c r="A20" s="118" t="s">
        <v>136</v>
      </c>
      <c r="B20" s="1" t="s">
        <v>120</v>
      </c>
      <c r="C20" s="6" t="s">
        <v>106</v>
      </c>
      <c r="D20" s="1">
        <v>3.3047</v>
      </c>
      <c r="E20" s="89">
        <f t="shared" ref="E20:E30" si="7">D20*10000/428</f>
        <v>77.212616822429908</v>
      </c>
      <c r="F20" s="89">
        <f t="shared" si="2"/>
        <v>25.737538940809969</v>
      </c>
      <c r="G20" s="90">
        <v>5000</v>
      </c>
      <c r="H20" s="90">
        <f t="shared" si="3"/>
        <v>3000</v>
      </c>
      <c r="I20" s="74">
        <f t="shared" si="4"/>
        <v>77212.616822429904</v>
      </c>
      <c r="J20" s="74"/>
      <c r="K20" s="74"/>
      <c r="L20" s="74"/>
      <c r="M20" s="73">
        <f t="shared" si="1"/>
        <v>6949.1355140186906</v>
      </c>
      <c r="N20" s="96">
        <f t="shared" si="5"/>
        <v>4169.4813084112138</v>
      </c>
      <c r="O20" s="68">
        <f t="shared" si="6"/>
        <v>2918.6369158878497</v>
      </c>
      <c r="P20" s="94">
        <v>0.3</v>
      </c>
    </row>
    <row r="21" spans="1:18" x14ac:dyDescent="0.45">
      <c r="A21" s="118" t="s">
        <v>136</v>
      </c>
      <c r="B21" s="1" t="s">
        <v>120</v>
      </c>
      <c r="C21" s="1" t="s">
        <v>4</v>
      </c>
      <c r="D21" s="1">
        <v>1.6257999999999999</v>
      </c>
      <c r="E21" s="89">
        <f t="shared" si="7"/>
        <v>37.985981308411212</v>
      </c>
      <c r="F21" s="89">
        <f t="shared" si="2"/>
        <v>12.661993769470405</v>
      </c>
      <c r="G21" s="90">
        <v>70000</v>
      </c>
      <c r="H21" s="90">
        <f t="shared" si="3"/>
        <v>42000</v>
      </c>
      <c r="I21" s="74">
        <f t="shared" si="4"/>
        <v>531803.73831775703</v>
      </c>
      <c r="J21" s="74"/>
      <c r="K21" s="74"/>
      <c r="L21" s="74"/>
      <c r="M21" s="73">
        <f t="shared" si="1"/>
        <v>47862.336448598129</v>
      </c>
      <c r="N21" s="96">
        <f t="shared" si="5"/>
        <v>28717.401869158875</v>
      </c>
      <c r="O21" s="68">
        <f t="shared" si="6"/>
        <v>20102.181308411211</v>
      </c>
      <c r="P21" s="94">
        <v>0.3</v>
      </c>
    </row>
    <row r="22" spans="1:18" x14ac:dyDescent="0.45">
      <c r="A22" s="118" t="s">
        <v>136</v>
      </c>
      <c r="B22" s="1" t="s">
        <v>120</v>
      </c>
      <c r="C22" s="1" t="s">
        <v>85</v>
      </c>
      <c r="D22" s="1">
        <v>9.4899999999999998E-2</v>
      </c>
      <c r="E22" s="89">
        <f t="shared" si="7"/>
        <v>2.2172897196261681</v>
      </c>
      <c r="F22" s="89">
        <f t="shared" si="2"/>
        <v>0.73909657320872268</v>
      </c>
      <c r="G22" s="90">
        <v>1500000</v>
      </c>
      <c r="H22" s="90">
        <f t="shared" si="3"/>
        <v>900000</v>
      </c>
      <c r="I22" s="74">
        <f t="shared" si="4"/>
        <v>665186.91588785045</v>
      </c>
      <c r="J22" s="74"/>
      <c r="K22" s="74"/>
      <c r="L22" s="74"/>
      <c r="M22" s="73">
        <f t="shared" si="1"/>
        <v>59866.82242990654</v>
      </c>
      <c r="N22" s="96">
        <f t="shared" si="5"/>
        <v>35920.09345794392</v>
      </c>
      <c r="O22" s="68">
        <f t="shared" si="6"/>
        <v>25144.065420560742</v>
      </c>
      <c r="P22" s="94">
        <v>0.3</v>
      </c>
    </row>
    <row r="23" spans="1:18" x14ac:dyDescent="0.45">
      <c r="A23" s="118" t="s">
        <v>136</v>
      </c>
      <c r="B23" s="1" t="s">
        <v>120</v>
      </c>
      <c r="C23" s="1" t="s">
        <v>86</v>
      </c>
      <c r="D23" s="1">
        <v>3.32E-2</v>
      </c>
      <c r="E23" s="89">
        <f t="shared" si="7"/>
        <v>0.77570093457943923</v>
      </c>
      <c r="F23" s="89">
        <f t="shared" si="2"/>
        <v>0.25856697819314639</v>
      </c>
      <c r="G23" s="90">
        <v>1500000</v>
      </c>
      <c r="H23" s="90">
        <f t="shared" si="3"/>
        <v>900000</v>
      </c>
      <c r="I23" s="74">
        <f t="shared" si="4"/>
        <v>232710.28037383175</v>
      </c>
      <c r="J23" s="74"/>
      <c r="K23" s="74"/>
      <c r="L23" s="74"/>
      <c r="M23" s="73">
        <f t="shared" si="1"/>
        <v>20943.925233644855</v>
      </c>
      <c r="N23" s="96">
        <f t="shared" si="5"/>
        <v>12566.355140186914</v>
      </c>
      <c r="O23" s="68">
        <f t="shared" si="6"/>
        <v>8796.4485981308389</v>
      </c>
      <c r="P23" s="94">
        <v>0.3</v>
      </c>
    </row>
    <row r="24" spans="1:18" x14ac:dyDescent="0.45">
      <c r="A24" s="118" t="s">
        <v>136</v>
      </c>
      <c r="B24" s="1" t="s">
        <v>120</v>
      </c>
      <c r="C24" s="1" t="s">
        <v>105</v>
      </c>
      <c r="D24" s="1">
        <v>0.27089999999999997</v>
      </c>
      <c r="E24" s="89">
        <f t="shared" si="7"/>
        <v>6.3294392523364476</v>
      </c>
      <c r="F24" s="89">
        <f t="shared" si="2"/>
        <v>2.1098130841121492</v>
      </c>
      <c r="G24" s="90">
        <v>1500000</v>
      </c>
      <c r="H24" s="90">
        <f t="shared" si="3"/>
        <v>900000</v>
      </c>
      <c r="I24" s="74">
        <f t="shared" si="4"/>
        <v>1898831.7757009342</v>
      </c>
      <c r="J24" s="74"/>
      <c r="K24" s="74"/>
      <c r="L24" s="74"/>
      <c r="M24" s="73">
        <f t="shared" si="1"/>
        <v>170894.85981308407</v>
      </c>
      <c r="N24" s="96">
        <f t="shared" si="5"/>
        <v>102536.91588785044</v>
      </c>
      <c r="O24" s="68">
        <f t="shared" si="6"/>
        <v>71775.841121495308</v>
      </c>
      <c r="P24" s="94">
        <v>0.3</v>
      </c>
    </row>
    <row r="25" spans="1:18" x14ac:dyDescent="0.45">
      <c r="A25" s="118" t="s">
        <v>136</v>
      </c>
      <c r="B25" s="1" t="s">
        <v>120</v>
      </c>
      <c r="C25" s="1" t="s">
        <v>3</v>
      </c>
      <c r="D25" s="87">
        <v>7.3300000000000004E-2</v>
      </c>
      <c r="E25" s="89">
        <f t="shared" si="7"/>
        <v>1.7126168224299065</v>
      </c>
      <c r="F25" s="89">
        <f t="shared" si="2"/>
        <v>0.57087227414330222</v>
      </c>
      <c r="G25" s="90">
        <v>1500000</v>
      </c>
      <c r="H25" s="90">
        <f t="shared" si="3"/>
        <v>900000</v>
      </c>
      <c r="I25" s="74">
        <f t="shared" si="4"/>
        <v>513785.046728972</v>
      </c>
      <c r="J25" s="74"/>
      <c r="K25" s="74"/>
      <c r="L25" s="74"/>
      <c r="M25" s="73">
        <f t="shared" si="1"/>
        <v>46240.654205607476</v>
      </c>
      <c r="N25" s="96">
        <f t="shared" si="5"/>
        <v>27744.392523364484</v>
      </c>
      <c r="O25" s="68">
        <f t="shared" si="6"/>
        <v>19421.074766355137</v>
      </c>
      <c r="P25" s="94">
        <v>0.3</v>
      </c>
    </row>
    <row r="26" spans="1:18" x14ac:dyDescent="0.45">
      <c r="A26" s="118" t="s">
        <v>136</v>
      </c>
      <c r="B26" s="1" t="s">
        <v>120</v>
      </c>
      <c r="C26" s="1" t="s">
        <v>1</v>
      </c>
      <c r="D26" s="1">
        <v>0.28070000000000001</v>
      </c>
      <c r="E26" s="89">
        <f t="shared" si="7"/>
        <v>6.5584112149532707</v>
      </c>
      <c r="F26" s="89">
        <f t="shared" si="2"/>
        <v>2.1861370716510904</v>
      </c>
      <c r="G26" s="90">
        <v>70000</v>
      </c>
      <c r="H26" s="90">
        <f t="shared" si="3"/>
        <v>42000</v>
      </c>
      <c r="I26" s="74">
        <f t="shared" si="4"/>
        <v>91817.757009345791</v>
      </c>
      <c r="J26" s="74"/>
      <c r="K26" s="74"/>
      <c r="L26" s="74"/>
      <c r="M26" s="73">
        <f t="shared" si="1"/>
        <v>8263.598130841121</v>
      </c>
      <c r="N26" s="96">
        <f t="shared" si="5"/>
        <v>4958.1588785046724</v>
      </c>
      <c r="O26" s="68">
        <f t="shared" si="6"/>
        <v>3470.7112149532704</v>
      </c>
      <c r="P26" s="94">
        <v>0.3</v>
      </c>
    </row>
    <row r="27" spans="1:18" x14ac:dyDescent="0.45">
      <c r="A27" s="118" t="s">
        <v>136</v>
      </c>
      <c r="B27" s="1" t="s">
        <v>120</v>
      </c>
      <c r="C27" s="1" t="s">
        <v>7</v>
      </c>
      <c r="D27" s="1">
        <v>0.45300000000000001</v>
      </c>
      <c r="E27" s="89">
        <f t="shared" si="7"/>
        <v>10.584112149532711</v>
      </c>
      <c r="F27" s="89">
        <f t="shared" si="2"/>
        <v>3.5280373831775704</v>
      </c>
      <c r="G27" s="90">
        <v>35000</v>
      </c>
      <c r="H27" s="90">
        <f t="shared" si="3"/>
        <v>21000</v>
      </c>
      <c r="I27" s="74">
        <f t="shared" si="4"/>
        <v>74088.785046728983</v>
      </c>
      <c r="J27" s="74"/>
      <c r="K27" s="74"/>
      <c r="L27" s="74"/>
      <c r="M27" s="73">
        <f t="shared" si="1"/>
        <v>6667.9906542056078</v>
      </c>
      <c r="N27" s="96">
        <f t="shared" si="5"/>
        <v>4000.7943925233644</v>
      </c>
      <c r="O27" s="68">
        <f t="shared" si="6"/>
        <v>2800.5560747663549</v>
      </c>
      <c r="P27" s="94">
        <v>0.3</v>
      </c>
    </row>
    <row r="28" spans="1:18" x14ac:dyDescent="0.45">
      <c r="A28" s="118" t="s">
        <v>136</v>
      </c>
      <c r="B28" s="1" t="s">
        <v>120</v>
      </c>
      <c r="C28" s="1" t="s">
        <v>24</v>
      </c>
      <c r="D28" s="1">
        <v>0.2228</v>
      </c>
      <c r="E28" s="89">
        <f t="shared" si="7"/>
        <v>5.2056074766355138</v>
      </c>
      <c r="F28" s="89">
        <f t="shared" si="2"/>
        <v>1.7352024922118379</v>
      </c>
      <c r="G28" s="90">
        <v>4000</v>
      </c>
      <c r="H28" s="90">
        <f t="shared" si="3"/>
        <v>2400</v>
      </c>
      <c r="I28" s="74">
        <f t="shared" si="4"/>
        <v>4164.4859813084113</v>
      </c>
      <c r="J28" s="74"/>
      <c r="K28" s="74"/>
      <c r="L28" s="74"/>
      <c r="M28" s="73">
        <f t="shared" si="1"/>
        <v>374.803738317757</v>
      </c>
      <c r="N28" s="96">
        <f t="shared" si="5"/>
        <v>224.88224299065419</v>
      </c>
      <c r="O28" s="68">
        <f t="shared" si="6"/>
        <v>157.41757009345793</v>
      </c>
      <c r="P28" s="94">
        <v>0.3</v>
      </c>
    </row>
    <row r="29" spans="1:18" x14ac:dyDescent="0.45">
      <c r="A29" s="118" t="s">
        <v>136</v>
      </c>
      <c r="B29" s="1" t="s">
        <v>120</v>
      </c>
      <c r="C29" s="1" t="s">
        <v>25</v>
      </c>
      <c r="D29" s="1">
        <v>0.1857</v>
      </c>
      <c r="E29" s="89">
        <f t="shared" si="7"/>
        <v>4.3387850467289724</v>
      </c>
      <c r="F29" s="89">
        <f t="shared" si="2"/>
        <v>1.4462616822429908</v>
      </c>
      <c r="G29" s="90">
        <v>4000</v>
      </c>
      <c r="H29" s="90">
        <f t="shared" si="3"/>
        <v>2400</v>
      </c>
      <c r="I29" s="74">
        <f t="shared" si="4"/>
        <v>3471.0280373831779</v>
      </c>
      <c r="J29" s="74"/>
      <c r="K29" s="74"/>
      <c r="L29" s="74"/>
      <c r="M29" s="73">
        <f t="shared" si="1"/>
        <v>312.39252336448601</v>
      </c>
      <c r="N29" s="96">
        <f t="shared" si="5"/>
        <v>187.43551401869161</v>
      </c>
      <c r="O29" s="68">
        <f t="shared" si="6"/>
        <v>131.20485981308411</v>
      </c>
      <c r="P29" s="94">
        <v>0.3</v>
      </c>
    </row>
    <row r="30" spans="1:18" ht="59" x14ac:dyDescent="0.45">
      <c r="A30" s="118" t="s">
        <v>136</v>
      </c>
      <c r="B30" s="1" t="s">
        <v>120</v>
      </c>
      <c r="C30" s="88" t="s">
        <v>78</v>
      </c>
      <c r="D30" s="1">
        <v>0.13500000000000001</v>
      </c>
      <c r="E30" s="89">
        <f t="shared" si="7"/>
        <v>3.1542056074766354</v>
      </c>
      <c r="F30" s="89">
        <f t="shared" si="2"/>
        <v>1.0514018691588785</v>
      </c>
      <c r="G30" s="90">
        <v>180</v>
      </c>
      <c r="H30" s="90">
        <f t="shared" si="3"/>
        <v>108</v>
      </c>
      <c r="I30" s="74">
        <f t="shared" si="4"/>
        <v>113.55140186915887</v>
      </c>
      <c r="J30" s="74"/>
      <c r="K30" s="74"/>
      <c r="L30" s="74"/>
      <c r="M30" s="73">
        <f t="shared" si="1"/>
        <v>10.219626168224298</v>
      </c>
      <c r="N30" s="96">
        <f t="shared" si="5"/>
        <v>6.131775700934579</v>
      </c>
      <c r="O30" s="68">
        <f t="shared" si="6"/>
        <v>4.2922429906542048</v>
      </c>
      <c r="P30" s="94">
        <v>0.3</v>
      </c>
      <c r="R30" t="s">
        <v>140</v>
      </c>
    </row>
    <row r="31" spans="1:18" x14ac:dyDescent="0.45">
      <c r="B31" s="1"/>
      <c r="C31" s="1"/>
      <c r="D31" s="1"/>
      <c r="E31" s="87"/>
      <c r="F31" s="87"/>
      <c r="G31" s="68"/>
      <c r="H31" s="68"/>
      <c r="I31" s="74"/>
      <c r="J31" s="74"/>
      <c r="K31" s="74"/>
      <c r="L31" s="74"/>
      <c r="M31" s="73">
        <f t="shared" si="1"/>
        <v>0</v>
      </c>
      <c r="N31" s="73"/>
      <c r="O31" s="68"/>
      <c r="P31" s="63"/>
    </row>
    <row r="32" spans="1:18" x14ac:dyDescent="0.45">
      <c r="B32" s="1"/>
      <c r="C32" s="1"/>
      <c r="D32" s="1"/>
      <c r="E32" s="87"/>
      <c r="F32" s="87"/>
      <c r="G32" s="68"/>
      <c r="H32" s="68"/>
      <c r="I32" s="74"/>
      <c r="J32" s="74"/>
      <c r="K32" s="74"/>
      <c r="L32" s="74"/>
      <c r="M32" s="73">
        <f t="shared" si="1"/>
        <v>0</v>
      </c>
      <c r="N32" s="73"/>
      <c r="O32" s="68">
        <f t="shared" ref="O32:O41" si="8">M32*(1-P32)</f>
        <v>0</v>
      </c>
      <c r="P32" s="63">
        <v>0.3</v>
      </c>
    </row>
    <row r="33" spans="1:25" x14ac:dyDescent="0.45">
      <c r="A33" s="118" t="s">
        <v>129</v>
      </c>
      <c r="B33" s="1" t="s">
        <v>120</v>
      </c>
      <c r="C33" s="1" t="s">
        <v>157</v>
      </c>
      <c r="D33" s="1"/>
      <c r="E33" s="87"/>
      <c r="F33" s="87"/>
      <c r="G33" s="68">
        <v>1021608</v>
      </c>
      <c r="H33" s="68"/>
      <c r="I33" s="74"/>
      <c r="J33" s="74"/>
      <c r="K33" s="74"/>
      <c r="L33" s="74"/>
      <c r="M33" s="73">
        <f t="shared" si="1"/>
        <v>0</v>
      </c>
      <c r="N33" s="73"/>
      <c r="O33" s="68">
        <f t="shared" si="8"/>
        <v>0</v>
      </c>
      <c r="P33" s="63">
        <v>0.3</v>
      </c>
      <c r="Q33" t="s">
        <v>156</v>
      </c>
    </row>
    <row r="34" spans="1:25" x14ac:dyDescent="0.45">
      <c r="B34" s="1"/>
      <c r="C34" s="1"/>
      <c r="D34" s="1"/>
      <c r="E34" s="87"/>
      <c r="F34" s="87"/>
      <c r="G34" s="68"/>
      <c r="H34" s="68"/>
      <c r="I34" s="74"/>
      <c r="J34" s="74"/>
      <c r="K34" s="74"/>
      <c r="L34" s="74"/>
      <c r="M34" s="73"/>
      <c r="N34" s="73"/>
      <c r="O34" s="68"/>
      <c r="P34" s="63"/>
    </row>
    <row r="35" spans="1:25" x14ac:dyDescent="0.45">
      <c r="A35" t="s">
        <v>130</v>
      </c>
      <c r="B35" s="1" t="s">
        <v>120</v>
      </c>
      <c r="C35" s="1" t="s">
        <v>147</v>
      </c>
      <c r="D35" s="1">
        <v>1.6000000000000001E-3</v>
      </c>
      <c r="E35" s="87">
        <f>D35*10000/428</f>
        <v>3.7383177570093455E-2</v>
      </c>
      <c r="F35" s="87"/>
      <c r="G35" s="68">
        <v>1500000</v>
      </c>
      <c r="H35" s="68"/>
      <c r="I35" s="74">
        <f>G35*E35</f>
        <v>56074.766355140186</v>
      </c>
      <c r="J35" s="74"/>
      <c r="K35" s="74"/>
      <c r="L35" s="74"/>
      <c r="M35" s="73">
        <f t="shared" si="1"/>
        <v>5046.7289719626169</v>
      </c>
      <c r="N35" s="73"/>
      <c r="O35" s="68">
        <f t="shared" si="8"/>
        <v>3532.7102803738317</v>
      </c>
      <c r="P35" s="63">
        <v>0.3</v>
      </c>
    </row>
    <row r="36" spans="1:25" x14ac:dyDescent="0.45">
      <c r="A36" t="s">
        <v>130</v>
      </c>
      <c r="B36" s="1" t="s">
        <v>120</v>
      </c>
      <c r="C36" s="1" t="s">
        <v>146</v>
      </c>
      <c r="D36" s="1">
        <v>0.53</v>
      </c>
      <c r="E36" s="87">
        <f>D36*10000/428</f>
        <v>12.383177570093459</v>
      </c>
      <c r="F36" s="87"/>
      <c r="G36" s="68">
        <v>800000</v>
      </c>
      <c r="H36" s="68"/>
      <c r="I36" s="74">
        <f>G36*E36</f>
        <v>9906542.0560747664</v>
      </c>
      <c r="J36" s="74"/>
      <c r="K36" s="74"/>
      <c r="L36" s="74"/>
      <c r="M36" s="73">
        <f t="shared" si="1"/>
        <v>891588.78504672891</v>
      </c>
      <c r="N36" s="73"/>
      <c r="O36" s="68">
        <f t="shared" si="8"/>
        <v>624112.1495327102</v>
      </c>
      <c r="P36" s="63">
        <v>0.3</v>
      </c>
    </row>
    <row r="37" spans="1:25" x14ac:dyDescent="0.45">
      <c r="A37" t="s">
        <v>130</v>
      </c>
      <c r="B37" s="1" t="s">
        <v>118</v>
      </c>
      <c r="C37" s="119" t="s">
        <v>123</v>
      </c>
      <c r="D37" s="1">
        <v>40</v>
      </c>
      <c r="E37" s="1"/>
      <c r="F37" s="1"/>
      <c r="G37" s="75">
        <v>27000</v>
      </c>
      <c r="H37" s="75"/>
      <c r="I37" s="74">
        <f>G37*D37</f>
        <v>1080000</v>
      </c>
      <c r="J37" s="74"/>
      <c r="K37" s="74"/>
      <c r="L37" s="74"/>
      <c r="M37" s="73">
        <f>I37</f>
        <v>1080000</v>
      </c>
      <c r="N37" s="73"/>
      <c r="O37" s="68">
        <f t="shared" si="8"/>
        <v>756000</v>
      </c>
      <c r="P37" s="63">
        <v>0.3</v>
      </c>
      <c r="Q37" t="s">
        <v>119</v>
      </c>
    </row>
    <row r="38" spans="1:25" x14ac:dyDescent="0.45">
      <c r="A38" t="s">
        <v>129</v>
      </c>
      <c r="B38" s="1" t="s">
        <v>129</v>
      </c>
      <c r="C38" s="119" t="s">
        <v>123</v>
      </c>
      <c r="D38" s="1"/>
      <c r="E38" s="1"/>
      <c r="F38" s="1"/>
      <c r="G38" s="75">
        <v>27000</v>
      </c>
      <c r="H38" s="75"/>
      <c r="I38" s="74">
        <f>G38*D38</f>
        <v>0</v>
      </c>
      <c r="J38" s="74"/>
      <c r="K38" s="74"/>
      <c r="L38" s="74"/>
      <c r="M38" s="73">
        <f t="shared" si="1"/>
        <v>0</v>
      </c>
      <c r="N38" s="73"/>
      <c r="O38" s="68">
        <f t="shared" si="8"/>
        <v>0</v>
      </c>
      <c r="P38" s="63"/>
    </row>
    <row r="39" spans="1:25" x14ac:dyDescent="0.45">
      <c r="A39" t="s">
        <v>130</v>
      </c>
      <c r="B39" s="54" t="s">
        <v>118</v>
      </c>
      <c r="C39" s="97" t="s">
        <v>124</v>
      </c>
      <c r="D39" s="97">
        <v>20</v>
      </c>
      <c r="E39" s="98"/>
      <c r="F39" s="98"/>
      <c r="G39" s="99">
        <v>5000</v>
      </c>
      <c r="H39" s="99"/>
      <c r="I39" s="100">
        <f>G39*D39</f>
        <v>100000</v>
      </c>
      <c r="J39" s="100"/>
      <c r="K39" s="100"/>
      <c r="L39" s="100"/>
      <c r="M39" s="73">
        <f t="shared" si="1"/>
        <v>9000</v>
      </c>
      <c r="N39" s="101"/>
      <c r="O39" s="68">
        <f t="shared" si="8"/>
        <v>9000</v>
      </c>
      <c r="P39" s="102">
        <v>0</v>
      </c>
      <c r="Q39" s="102" t="s">
        <v>134</v>
      </c>
      <c r="R39" s="102"/>
      <c r="S39" s="102"/>
      <c r="T39" s="102"/>
      <c r="U39" s="102"/>
      <c r="V39" s="102"/>
      <c r="W39" s="102"/>
      <c r="X39" s="102"/>
      <c r="Y39" s="102"/>
    </row>
    <row r="40" spans="1:25" x14ac:dyDescent="0.45">
      <c r="A40" t="s">
        <v>129</v>
      </c>
      <c r="B40" s="93" t="s">
        <v>129</v>
      </c>
      <c r="C40" s="97" t="s">
        <v>124</v>
      </c>
      <c r="D40" s="97"/>
      <c r="E40" s="103"/>
      <c r="F40" s="103"/>
      <c r="G40" s="99">
        <v>5000</v>
      </c>
      <c r="H40" s="99"/>
      <c r="I40" s="100">
        <f>G40*D40</f>
        <v>0</v>
      </c>
      <c r="J40" s="100"/>
      <c r="K40" s="100"/>
      <c r="L40" s="100"/>
      <c r="M40" s="73">
        <f t="shared" si="1"/>
        <v>0</v>
      </c>
      <c r="N40" s="101"/>
      <c r="O40" s="68">
        <f t="shared" si="8"/>
        <v>0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</row>
    <row r="41" spans="1:25" x14ac:dyDescent="0.45">
      <c r="A41" t="s">
        <v>130</v>
      </c>
      <c r="B41" s="93" t="s">
        <v>120</v>
      </c>
      <c r="C41" s="109" t="s">
        <v>135</v>
      </c>
      <c r="D41" s="144" t="s">
        <v>142</v>
      </c>
      <c r="E41" s="144"/>
      <c r="F41" s="144"/>
      <c r="G41" s="116">
        <v>1000000</v>
      </c>
      <c r="H41" s="117"/>
      <c r="I41" s="113">
        <f>G41/2</f>
        <v>500000</v>
      </c>
      <c r="J41" s="113"/>
      <c r="K41" s="113"/>
      <c r="L41" s="113"/>
      <c r="M41" s="73">
        <f t="shared" si="1"/>
        <v>45000</v>
      </c>
      <c r="N41" s="114"/>
      <c r="O41" s="68">
        <f t="shared" si="8"/>
        <v>31499.999999999996</v>
      </c>
      <c r="P41" s="115">
        <v>0.3</v>
      </c>
      <c r="Q41" s="102"/>
      <c r="R41" s="102"/>
      <c r="S41" s="102"/>
      <c r="T41" s="102"/>
      <c r="U41" s="102"/>
      <c r="V41" s="102"/>
      <c r="W41" s="102"/>
      <c r="X41" s="102"/>
      <c r="Y41" s="102"/>
    </row>
    <row r="42" spans="1:25" x14ac:dyDescent="0.45">
      <c r="D42" s="143"/>
      <c r="E42" s="143"/>
      <c r="F42" s="143"/>
      <c r="G42" s="143"/>
      <c r="H42" s="143"/>
      <c r="I42" s="143"/>
      <c r="J42" s="149"/>
      <c r="K42" s="149"/>
      <c r="L42" s="149"/>
      <c r="M42" s="112"/>
      <c r="N42" s="112"/>
      <c r="O42" s="68"/>
    </row>
    <row r="43" spans="1:25" x14ac:dyDescent="0.45">
      <c r="C43" s="109"/>
      <c r="D43" s="109"/>
      <c r="G43" s="110"/>
      <c r="H43" s="110"/>
      <c r="I43" s="111"/>
      <c r="J43" s="111"/>
      <c r="K43" s="111"/>
      <c r="L43" s="111"/>
      <c r="M43" s="112"/>
      <c r="N43" s="112"/>
      <c r="O43" s="71"/>
    </row>
    <row r="44" spans="1:25" x14ac:dyDescent="0.45">
      <c r="C44" s="109"/>
      <c r="D44" s="109"/>
      <c r="G44" s="110"/>
      <c r="H44" s="110"/>
      <c r="I44" s="111"/>
      <c r="J44" s="111"/>
      <c r="K44" s="111"/>
      <c r="L44" s="111"/>
      <c r="M44" s="112"/>
      <c r="N44" s="112"/>
      <c r="O44" s="71"/>
    </row>
    <row r="45" spans="1:25" ht="19" thickBot="1" x14ac:dyDescent="0.5">
      <c r="G45" s="91"/>
      <c r="H45" s="91"/>
      <c r="I45" s="92"/>
      <c r="J45" s="92"/>
      <c r="K45" s="92"/>
      <c r="L45" s="92"/>
    </row>
    <row r="46" spans="1:25" ht="19" thickBot="1" x14ac:dyDescent="0.5">
      <c r="B46" s="128" t="s">
        <v>109</v>
      </c>
      <c r="C46" s="129"/>
      <c r="D46" s="129"/>
      <c r="E46" s="129"/>
      <c r="F46" s="129"/>
      <c r="G46" s="129"/>
      <c r="H46" s="129"/>
      <c r="I46" s="130"/>
      <c r="J46" s="150"/>
      <c r="K46" s="150"/>
      <c r="L46" s="150"/>
    </row>
    <row r="47" spans="1:25" x14ac:dyDescent="0.45">
      <c r="B47" s="53"/>
      <c r="C47" s="61" t="s">
        <v>145</v>
      </c>
      <c r="D47" s="53"/>
      <c r="E47" s="53"/>
      <c r="F47" s="53"/>
      <c r="G47" s="76"/>
      <c r="H47" s="76"/>
      <c r="I47" s="77"/>
      <c r="J47" s="151"/>
      <c r="K47" s="151"/>
      <c r="L47" s="151"/>
      <c r="M47" s="78">
        <f>I47</f>
        <v>0</v>
      </c>
      <c r="N47" s="78"/>
      <c r="O47" s="68">
        <v>0</v>
      </c>
      <c r="P47" t="s">
        <v>143</v>
      </c>
    </row>
    <row r="48" spans="1:25" x14ac:dyDescent="0.45">
      <c r="B48" s="1"/>
      <c r="C48" s="49"/>
      <c r="D48" s="1"/>
      <c r="E48" s="1"/>
      <c r="F48" s="1"/>
      <c r="G48" s="68"/>
      <c r="H48" s="68"/>
      <c r="I48" s="74"/>
      <c r="J48" s="152"/>
      <c r="K48" s="152"/>
      <c r="L48" s="152"/>
      <c r="M48" s="79"/>
      <c r="N48" s="79"/>
      <c r="O48" s="68">
        <v>0</v>
      </c>
      <c r="P48" t="s">
        <v>141</v>
      </c>
    </row>
    <row r="49" spans="1:15" x14ac:dyDescent="0.45">
      <c r="B49" s="1"/>
      <c r="C49" s="49"/>
      <c r="D49" s="1"/>
      <c r="E49" s="1"/>
      <c r="F49" s="1"/>
      <c r="G49" s="68"/>
      <c r="H49" s="68"/>
      <c r="I49" s="74"/>
      <c r="J49" s="74"/>
      <c r="K49" s="74"/>
      <c r="L49" s="74"/>
      <c r="M49" s="80"/>
      <c r="N49" s="80"/>
      <c r="O49" s="68">
        <f t="shared" ref="O49:O52" si="9">M49*(1-P49)</f>
        <v>0</v>
      </c>
    </row>
    <row r="50" spans="1:15" x14ac:dyDescent="0.45">
      <c r="A50" t="s">
        <v>129</v>
      </c>
      <c r="B50" s="1"/>
      <c r="C50" s="49"/>
      <c r="D50" s="1"/>
      <c r="E50" s="84"/>
      <c r="F50" s="84"/>
      <c r="G50" s="68"/>
      <c r="H50" s="68"/>
      <c r="I50" s="74"/>
      <c r="J50" s="74"/>
      <c r="K50" s="74"/>
      <c r="L50" s="74"/>
      <c r="M50" s="80"/>
      <c r="N50" s="80"/>
      <c r="O50" s="68">
        <f t="shared" si="9"/>
        <v>0</v>
      </c>
    </row>
    <row r="51" spans="1:15" x14ac:dyDescent="0.45">
      <c r="B51" s="1"/>
      <c r="C51" s="49"/>
      <c r="D51" s="1"/>
      <c r="E51" s="1"/>
      <c r="F51" s="1"/>
      <c r="G51" s="68"/>
      <c r="H51" s="68"/>
      <c r="I51" s="69"/>
      <c r="J51" s="69"/>
      <c r="K51" s="69"/>
      <c r="L51" s="69"/>
      <c r="M51" s="85"/>
      <c r="N51" s="85"/>
      <c r="O51" s="68">
        <f t="shared" si="9"/>
        <v>0</v>
      </c>
    </row>
    <row r="52" spans="1:15" x14ac:dyDescent="0.45">
      <c r="B52" s="1"/>
      <c r="C52" s="49"/>
      <c r="D52" s="1"/>
      <c r="E52" s="1"/>
      <c r="F52" s="1"/>
      <c r="G52" s="68"/>
      <c r="H52" s="68"/>
      <c r="I52" s="74"/>
      <c r="J52" s="74"/>
      <c r="K52" s="74"/>
      <c r="L52" s="74"/>
      <c r="M52" s="86"/>
      <c r="N52" s="86"/>
      <c r="O52" s="68">
        <f t="shared" si="9"/>
        <v>0</v>
      </c>
    </row>
    <row r="53" spans="1:15" x14ac:dyDescent="0.45">
      <c r="B53" s="1"/>
      <c r="C53" s="49"/>
      <c r="D53" s="1"/>
      <c r="E53" s="1"/>
      <c r="F53" s="80" t="s">
        <v>158</v>
      </c>
      <c r="G53" s="68"/>
      <c r="H53" s="68"/>
      <c r="I53" s="74"/>
      <c r="J53" s="74"/>
      <c r="K53" s="74"/>
      <c r="L53" s="74"/>
      <c r="M53" s="80"/>
      <c r="N53" s="80"/>
      <c r="O53" s="68">
        <f>-(O30+O29+O28+O27+O26+O25+O24+O23+O22+O21+O20+O19+O18+O17)</f>
        <v>-163244.47542056075</v>
      </c>
    </row>
    <row r="54" spans="1:15" x14ac:dyDescent="0.45">
      <c r="G54" s="71"/>
      <c r="H54" s="71"/>
      <c r="I54" s="81" t="s">
        <v>107</v>
      </c>
      <c r="J54" s="81"/>
      <c r="K54" s="81"/>
      <c r="L54" s="81"/>
      <c r="M54" s="82">
        <f>SUM(M7:M53)</f>
        <v>2718422.8364485982</v>
      </c>
      <c r="N54" s="82"/>
      <c r="O54" s="83">
        <f>SUM(O6:O53)</f>
        <v>1719432.8598130841</v>
      </c>
    </row>
    <row r="55" spans="1:15" x14ac:dyDescent="0.45">
      <c r="C55" t="s">
        <v>112</v>
      </c>
      <c r="E55" s="57"/>
      <c r="F55" s="57"/>
    </row>
    <row r="56" spans="1:15" x14ac:dyDescent="0.45">
      <c r="B56" s="64">
        <v>0</v>
      </c>
      <c r="C56" s="58" t="s">
        <v>113</v>
      </c>
      <c r="E56" s="57"/>
      <c r="F56" s="57"/>
    </row>
    <row r="57" spans="1:15" x14ac:dyDescent="0.45">
      <c r="B57" s="64">
        <f>MAX(0,MIN(O54,1300000)-800000)*0.005</f>
        <v>2500</v>
      </c>
      <c r="C57" s="58" t="s">
        <v>115</v>
      </c>
      <c r="E57" s="57"/>
      <c r="F57" s="57"/>
    </row>
    <row r="58" spans="1:15" x14ac:dyDescent="0.45">
      <c r="B58" s="64">
        <f>MAX(0,MIN(O54,2570000)-1300000)*0.007</f>
        <v>2936.0300186915888</v>
      </c>
      <c r="C58" s="58" t="s">
        <v>116</v>
      </c>
      <c r="E58" s="57"/>
      <c r="F58" s="57"/>
    </row>
    <row r="59" spans="1:15" ht="19" thickBot="1" x14ac:dyDescent="0.5">
      <c r="B59" s="64">
        <f>MAX(0,MIN(O54,5000000)-2570000)*0.01</f>
        <v>0</v>
      </c>
      <c r="C59" s="58" t="s">
        <v>114</v>
      </c>
      <c r="E59" s="57"/>
      <c r="F59" s="57"/>
    </row>
    <row r="60" spans="1:15" ht="19" thickBot="1" x14ac:dyDescent="0.5">
      <c r="B60" s="65">
        <v>0</v>
      </c>
      <c r="C60" s="58" t="s">
        <v>159</v>
      </c>
      <c r="E60" s="57"/>
      <c r="F60" s="57"/>
    </row>
    <row r="61" spans="1:15" x14ac:dyDescent="0.45">
      <c r="B61" s="146">
        <f>SUM(B56:B60)</f>
        <v>5436.0300186915883</v>
      </c>
      <c r="C61" s="145" t="s">
        <v>117</v>
      </c>
      <c r="E61" s="57"/>
      <c r="F61" s="57"/>
    </row>
    <row r="62" spans="1:15" x14ac:dyDescent="0.45">
      <c r="C62" s="59"/>
      <c r="E62" s="57"/>
      <c r="F62" s="57"/>
    </row>
    <row r="63" spans="1:15" x14ac:dyDescent="0.45">
      <c r="C63" s="59"/>
      <c r="E63" s="57"/>
      <c r="F63" s="57"/>
    </row>
    <row r="64" spans="1:15" x14ac:dyDescent="0.45">
      <c r="C64" s="60"/>
      <c r="E64" s="57"/>
      <c r="F64" s="57"/>
    </row>
    <row r="65" spans="3:6" x14ac:dyDescent="0.45">
      <c r="C65" s="60"/>
      <c r="E65" s="57"/>
      <c r="F65" s="57"/>
    </row>
  </sheetData>
  <mergeCells count="16">
    <mergeCell ref="N2:N5"/>
    <mergeCell ref="M2:M5"/>
    <mergeCell ref="O2:O5"/>
    <mergeCell ref="B46:I46"/>
    <mergeCell ref="B9:I9"/>
    <mergeCell ref="I2:I5"/>
    <mergeCell ref="G2:G5"/>
    <mergeCell ref="B7:E7"/>
    <mergeCell ref="B8:E8"/>
    <mergeCell ref="B15:I15"/>
    <mergeCell ref="D42:I42"/>
    <mergeCell ref="D41:F41"/>
    <mergeCell ref="H2:H5"/>
    <mergeCell ref="J2:J5"/>
    <mergeCell ref="K2:K5"/>
    <mergeCell ref="L2:L5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2023-05-31T07:38:19Z</cp:lastPrinted>
  <dcterms:created xsi:type="dcterms:W3CDTF">2017-06-14T12:46:44Z</dcterms:created>
  <dcterms:modified xsi:type="dcterms:W3CDTF">2026-02-19T14:38:58Z</dcterms:modified>
</cp:coreProperties>
</file>