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MISES EN BT\"/>
    </mc:Choice>
  </mc:AlternateContent>
  <xr:revisionPtr revIDLastSave="0" documentId="13_ncr:1_{791C14A4-0D73-4CCC-B0C9-701C17E0DEE3}" xr6:coauthVersionLast="47" xr6:coauthVersionMax="47" xr10:uidLastSave="{00000000-0000-0000-0000-000000000000}"/>
  <bookViews>
    <workbookView xWindow="38290" yWindow="-110" windowWidth="38620" windowHeight="21100" xr2:uid="{6444C958-6618-42BD-B563-0D0665A69B7C}"/>
  </bookViews>
  <sheets>
    <sheet name="Base travail" sheetId="1" r:id="rId1"/>
    <sheet name="Calcul pour flo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69" i="1"/>
  <c r="J106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21" i="1"/>
  <c r="J125" i="1"/>
  <c r="F119" i="1"/>
  <c r="G119" i="1" s="1"/>
  <c r="J119" i="1" s="1"/>
  <c r="L119" i="1" s="1"/>
  <c r="F118" i="1"/>
  <c r="G118" i="1" s="1"/>
  <c r="J118" i="1" s="1"/>
  <c r="L118" i="1" s="1"/>
  <c r="F117" i="1"/>
  <c r="G117" i="1" s="1"/>
  <c r="J117" i="1" s="1"/>
  <c r="L117" i="1" s="1"/>
  <c r="F116" i="1"/>
  <c r="G116" i="1" s="1"/>
  <c r="J116" i="1" s="1"/>
  <c r="L116" i="1" s="1"/>
  <c r="F115" i="1"/>
  <c r="G115" i="1" s="1"/>
  <c r="J115" i="1" s="1"/>
  <c r="L115" i="1" s="1"/>
  <c r="F114" i="1"/>
  <c r="G114" i="1" s="1"/>
  <c r="F113" i="1"/>
  <c r="G113" i="1" s="1"/>
  <c r="J113" i="1" s="1"/>
  <c r="L113" i="1" s="1"/>
  <c r="F112" i="1"/>
  <c r="G112" i="1" s="1"/>
  <c r="J112" i="1" s="1"/>
  <c r="L112" i="1" s="1"/>
  <c r="F111" i="1"/>
  <c r="G111" i="1" s="1"/>
  <c r="J111" i="1" s="1"/>
  <c r="L111" i="1" s="1"/>
  <c r="F110" i="1"/>
  <c r="G110" i="1" s="1"/>
  <c r="J110" i="1" s="1"/>
  <c r="L110" i="1" s="1"/>
  <c r="F109" i="1"/>
  <c r="G109" i="1" s="1"/>
  <c r="J109" i="1" s="1"/>
  <c r="L109" i="1" s="1"/>
  <c r="F108" i="1"/>
  <c r="G108" i="1" s="1"/>
  <c r="J108" i="1" s="1"/>
  <c r="L108" i="1" s="1"/>
  <c r="F107" i="1"/>
  <c r="G107" i="1" s="1"/>
  <c r="J107" i="1" s="1"/>
  <c r="F106" i="1"/>
  <c r="G106" i="1" s="1"/>
  <c r="F105" i="1"/>
  <c r="G105" i="1" s="1"/>
  <c r="J105" i="1" s="1"/>
  <c r="L105" i="1" s="1"/>
  <c r="F104" i="1"/>
  <c r="G104" i="1" s="1"/>
  <c r="J104" i="1" s="1"/>
  <c r="L104" i="1" s="1"/>
  <c r="F103" i="1"/>
  <c r="G103" i="1" s="1"/>
  <c r="J103" i="1" s="1"/>
  <c r="L103" i="1" s="1"/>
  <c r="F102" i="1"/>
  <c r="G102" i="1" s="1"/>
  <c r="J102" i="1" s="1"/>
  <c r="L102" i="1" s="1"/>
  <c r="M95" i="1"/>
  <c r="N95" i="1"/>
  <c r="M93" i="1"/>
  <c r="N93" i="1"/>
  <c r="M94" i="1"/>
  <c r="N94" i="1"/>
  <c r="H84" i="1"/>
  <c r="O70" i="1"/>
  <c r="P70" i="1" s="1"/>
  <c r="Q70" i="1" s="1"/>
  <c r="S70" i="1" s="1"/>
  <c r="O71" i="1"/>
  <c r="P71" i="1" s="1"/>
  <c r="Q71" i="1" s="1"/>
  <c r="S71" i="1" s="1"/>
  <c r="O72" i="1"/>
  <c r="P72" i="1" s="1"/>
  <c r="Q72" i="1" s="1"/>
  <c r="S72" i="1" s="1"/>
  <c r="O73" i="1"/>
  <c r="P73" i="1" s="1"/>
  <c r="Q73" i="1" s="1"/>
  <c r="S73" i="1" s="1"/>
  <c r="O74" i="1"/>
  <c r="P74" i="1" s="1"/>
  <c r="Q74" i="1" s="1"/>
  <c r="S74" i="1" s="1"/>
  <c r="O75" i="1"/>
  <c r="P75" i="1" s="1"/>
  <c r="Q75" i="1" s="1"/>
  <c r="S75" i="1" s="1"/>
  <c r="O76" i="1"/>
  <c r="P76" i="1" s="1"/>
  <c r="Q76" i="1" s="1"/>
  <c r="S76" i="1" s="1"/>
  <c r="O77" i="1"/>
  <c r="O95" i="1" s="1"/>
  <c r="O78" i="1"/>
  <c r="P78" i="1" s="1"/>
  <c r="Q78" i="1" s="1"/>
  <c r="S78" i="1" s="1"/>
  <c r="O79" i="1"/>
  <c r="P79" i="1" s="1"/>
  <c r="Q79" i="1" s="1"/>
  <c r="S79" i="1" s="1"/>
  <c r="O80" i="1"/>
  <c r="P80" i="1" s="1"/>
  <c r="Q80" i="1" s="1"/>
  <c r="S80" i="1" s="1"/>
  <c r="O81" i="1"/>
  <c r="P81" i="1" s="1"/>
  <c r="Q81" i="1" s="1"/>
  <c r="S81" i="1" s="1"/>
  <c r="O82" i="1"/>
  <c r="P82" i="1" s="1"/>
  <c r="Q82" i="1" s="1"/>
  <c r="S82" i="1" s="1"/>
  <c r="O83" i="1"/>
  <c r="P83" i="1" s="1"/>
  <c r="Q83" i="1" s="1"/>
  <c r="S83" i="1" s="1"/>
  <c r="O84" i="1"/>
  <c r="P84" i="1" s="1"/>
  <c r="Q84" i="1" s="1"/>
  <c r="S84" i="1" s="1"/>
  <c r="O85" i="1"/>
  <c r="P85" i="1" s="1"/>
  <c r="Q85" i="1" s="1"/>
  <c r="S85" i="1" s="1"/>
  <c r="O86" i="1"/>
  <c r="P86" i="1" s="1"/>
  <c r="Q86" i="1" s="1"/>
  <c r="S86" i="1" s="1"/>
  <c r="O69" i="1"/>
  <c r="P69" i="1" s="1"/>
  <c r="Q69" i="1" s="1"/>
  <c r="S69" i="1" s="1"/>
  <c r="D95" i="1"/>
  <c r="E95" i="1"/>
  <c r="D94" i="1"/>
  <c r="E94" i="1"/>
  <c r="D93" i="1"/>
  <c r="D96" i="1" s="1"/>
  <c r="E93" i="1"/>
  <c r="L95" i="1"/>
  <c r="Q95" i="1" s="1"/>
  <c r="L94" i="1"/>
  <c r="Q94" i="1" s="1"/>
  <c r="L93" i="1"/>
  <c r="C95" i="1"/>
  <c r="C93" i="1"/>
  <c r="J70" i="1"/>
  <c r="J71" i="1"/>
  <c r="J72" i="1"/>
  <c r="J73" i="1"/>
  <c r="J75" i="1"/>
  <c r="J76" i="1"/>
  <c r="J77" i="1"/>
  <c r="J78" i="1"/>
  <c r="J79" i="1"/>
  <c r="J80" i="1"/>
  <c r="J81" i="1"/>
  <c r="J82" i="1"/>
  <c r="J84" i="1"/>
  <c r="J85" i="1"/>
  <c r="J86" i="1"/>
  <c r="J69" i="1"/>
  <c r="F70" i="1"/>
  <c r="F71" i="1"/>
  <c r="F72" i="1"/>
  <c r="F73" i="1"/>
  <c r="F74" i="1"/>
  <c r="F75" i="1"/>
  <c r="F76" i="1"/>
  <c r="F93" i="1" s="1"/>
  <c r="F77" i="1"/>
  <c r="F95" i="1" s="1"/>
  <c r="H95" i="1" s="1"/>
  <c r="F78" i="1"/>
  <c r="F79" i="1"/>
  <c r="F80" i="1"/>
  <c r="F81" i="1"/>
  <c r="F82" i="1"/>
  <c r="F83" i="1"/>
  <c r="F84" i="1"/>
  <c r="F85" i="1"/>
  <c r="F86" i="1"/>
  <c r="F69" i="1"/>
  <c r="C82" i="1"/>
  <c r="C74" i="1"/>
  <c r="J74" i="1" s="1"/>
  <c r="B82" i="1"/>
  <c r="O53" i="1"/>
  <c r="P52" i="1"/>
  <c r="P53" i="1"/>
  <c r="P54" i="1"/>
  <c r="P55" i="1"/>
  <c r="P56" i="1"/>
  <c r="P57" i="1"/>
  <c r="P58" i="1"/>
  <c r="P59" i="1"/>
  <c r="P51" i="1"/>
  <c r="O52" i="1"/>
  <c r="O54" i="1"/>
  <c r="O55" i="1"/>
  <c r="O56" i="1"/>
  <c r="O57" i="1"/>
  <c r="O58" i="1"/>
  <c r="O59" i="1"/>
  <c r="O51" i="1"/>
  <c r="J25" i="2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I26" i="2"/>
  <c r="J26" i="2" s="1"/>
  <c r="I18" i="2"/>
  <c r="J18" i="2" s="1"/>
  <c r="J7" i="2"/>
  <c r="J11" i="2"/>
  <c r="J12" i="2"/>
  <c r="J6" i="2"/>
  <c r="O7" i="1"/>
  <c r="P7" i="1" s="1"/>
  <c r="Q7" i="1" s="1"/>
  <c r="R7" i="1" s="1"/>
  <c r="S7" i="1" s="1"/>
  <c r="O8" i="1"/>
  <c r="P8" i="1" s="1"/>
  <c r="Q8" i="1" s="1"/>
  <c r="R8" i="1" s="1"/>
  <c r="S8" i="1" s="1"/>
  <c r="O9" i="1"/>
  <c r="P9" i="1" s="1"/>
  <c r="Q9" i="1" s="1"/>
  <c r="R9" i="1" s="1"/>
  <c r="S9" i="1" s="1"/>
  <c r="O10" i="1"/>
  <c r="P10" i="1" s="1"/>
  <c r="Q10" i="1" s="1"/>
  <c r="R10" i="1" s="1"/>
  <c r="S10" i="1" s="1"/>
  <c r="O11" i="1"/>
  <c r="P11" i="1" s="1"/>
  <c r="Q11" i="1" s="1"/>
  <c r="R11" i="1" s="1"/>
  <c r="S11" i="1" s="1"/>
  <c r="O12" i="1"/>
  <c r="P12" i="1" s="1"/>
  <c r="Q12" i="1" s="1"/>
  <c r="R12" i="1" s="1"/>
  <c r="S12" i="1" s="1"/>
  <c r="O13" i="1"/>
  <c r="P13" i="1" s="1"/>
  <c r="Q13" i="1" s="1"/>
  <c r="R13" i="1" s="1"/>
  <c r="S13" i="1" s="1"/>
  <c r="O14" i="1"/>
  <c r="P14" i="1" s="1"/>
  <c r="Q14" i="1" s="1"/>
  <c r="R14" i="1" s="1"/>
  <c r="S14" i="1" s="1"/>
  <c r="O6" i="1"/>
  <c r="P6" i="1" s="1"/>
  <c r="Q6" i="1" s="1"/>
  <c r="R6" i="1" s="1"/>
  <c r="S6" i="1" s="1"/>
  <c r="I7" i="2"/>
  <c r="I8" i="2"/>
  <c r="J8" i="2" s="1"/>
  <c r="I9" i="2"/>
  <c r="J9" i="2" s="1"/>
  <c r="I10" i="2"/>
  <c r="J10" i="2" s="1"/>
  <c r="I11" i="2"/>
  <c r="I12" i="2"/>
  <c r="I13" i="2"/>
  <c r="J13" i="2" s="1"/>
  <c r="I14" i="2"/>
  <c r="J14" i="2" s="1"/>
  <c r="I6" i="2"/>
  <c r="D15" i="2"/>
  <c r="D14" i="2"/>
  <c r="C94" i="1" l="1"/>
  <c r="C96" i="1" s="1"/>
  <c r="J114" i="1"/>
  <c r="L114" i="1" s="1"/>
  <c r="L107" i="1"/>
  <c r="L106" i="1"/>
  <c r="C87" i="1"/>
  <c r="J95" i="1"/>
  <c r="J93" i="1"/>
  <c r="E96" i="1"/>
  <c r="P77" i="1"/>
  <c r="Q77" i="1" s="1"/>
  <c r="S77" i="1" s="1"/>
  <c r="Q93" i="1"/>
  <c r="L96" i="1"/>
  <c r="H93" i="1"/>
  <c r="O93" i="1"/>
  <c r="O94" i="1"/>
  <c r="F94" i="1"/>
  <c r="F96" i="1" s="1"/>
  <c r="K15" i="1"/>
  <c r="J17" i="1" s="1"/>
  <c r="K14" i="1" s="1"/>
  <c r="L14" i="1" s="1"/>
  <c r="X14" i="1" s="1"/>
  <c r="U33" i="1"/>
  <c r="U26" i="1"/>
  <c r="U25" i="1"/>
  <c r="K45" i="1"/>
  <c r="L45" i="1" s="1"/>
  <c r="K42" i="1"/>
  <c r="L42" i="1" s="1"/>
  <c r="K28" i="1" s="1"/>
  <c r="L28" i="1" s="1"/>
  <c r="K41" i="1"/>
  <c r="L41" i="1" s="1"/>
  <c r="R41" i="1" s="1"/>
  <c r="K23" i="1" s="1"/>
  <c r="L23" i="1" s="1"/>
  <c r="L7" i="1"/>
  <c r="L8" i="1"/>
  <c r="L9" i="1"/>
  <c r="L10" i="1"/>
  <c r="L11" i="1"/>
  <c r="L12" i="1"/>
  <c r="L13" i="1"/>
  <c r="L21" i="1"/>
  <c r="L22" i="1"/>
  <c r="L24" i="1"/>
  <c r="L25" i="1"/>
  <c r="L26" i="1"/>
  <c r="L30" i="1"/>
  <c r="L31" i="1"/>
  <c r="L32" i="1"/>
  <c r="L33" i="1"/>
  <c r="L34" i="1"/>
  <c r="L35" i="1"/>
  <c r="L36" i="1"/>
  <c r="L37" i="1"/>
  <c r="L38" i="1"/>
  <c r="L6" i="1"/>
  <c r="J94" i="1" l="1"/>
  <c r="J96" i="1"/>
  <c r="S23" i="1"/>
  <c r="M23" i="1"/>
  <c r="S35" i="1"/>
  <c r="M35" i="1"/>
  <c r="S32" i="1"/>
  <c r="M32" i="1"/>
  <c r="S36" i="1"/>
  <c r="M36" i="1"/>
  <c r="S34" i="1"/>
  <c r="M34" i="1"/>
  <c r="S33" i="1"/>
  <c r="M33" i="1"/>
  <c r="S26" i="1"/>
  <c r="M26" i="1"/>
  <c r="S31" i="1"/>
  <c r="M31" i="1"/>
  <c r="S25" i="1"/>
  <c r="M25" i="1"/>
  <c r="S28" i="1"/>
  <c r="M28" i="1"/>
  <c r="S22" i="1"/>
  <c r="M22" i="1"/>
  <c r="S30" i="1"/>
  <c r="M30" i="1"/>
  <c r="S24" i="1"/>
  <c r="M24" i="1"/>
  <c r="S38" i="1"/>
  <c r="M38" i="1"/>
  <c r="S37" i="1"/>
  <c r="M37" i="1"/>
  <c r="S21" i="1"/>
  <c r="M21" i="1"/>
  <c r="H94" i="1"/>
  <c r="H96" i="1" s="1"/>
  <c r="U39" i="1"/>
  <c r="K29" i="1"/>
  <c r="L29" i="1" s="1"/>
  <c r="T41" i="1"/>
  <c r="K27" i="1" s="1"/>
  <c r="L27" i="1" s="1"/>
  <c r="L39" i="1" s="1"/>
  <c r="S27" i="1" l="1"/>
  <c r="M27" i="1"/>
  <c r="S29" i="1"/>
  <c r="M29" i="1"/>
  <c r="S39" i="1" l="1"/>
  <c r="V39" i="1" s="1"/>
</calcChain>
</file>

<file path=xl/sharedStrings.xml><?xml version="1.0" encoding="utf-8"?>
<sst xmlns="http://schemas.openxmlformats.org/spreadsheetml/2006/main" count="312" uniqueCount="144">
  <si>
    <t>Quantités en Litres</t>
  </si>
  <si>
    <t>Quantités en litres</t>
  </si>
  <si>
    <t>En Bt</t>
  </si>
  <si>
    <t xml:space="preserve">Savigny les beaune </t>
  </si>
  <si>
    <t>Monthelie</t>
  </si>
  <si>
    <t>Gevrey Chambertin</t>
  </si>
  <si>
    <t>Gevrey 1er cru combe au moine</t>
  </si>
  <si>
    <t>Aloxe corton 1er cru les Valozieres</t>
  </si>
  <si>
    <t>Volnay 1er cru les brouillards</t>
  </si>
  <si>
    <t>Chambolle Musigny1er cru Aux Echanges</t>
  </si>
  <si>
    <t>Corton Grand cu rouge</t>
  </si>
  <si>
    <t>Bourgogne</t>
  </si>
  <si>
    <t>Beaune 1er cru les montrevenots</t>
  </si>
  <si>
    <t>Beaune 1er cru les boucherottes</t>
  </si>
  <si>
    <t>Bourgogne Pinot noir</t>
  </si>
  <si>
    <t>Chambolle musiny</t>
  </si>
  <si>
    <t>Clos Vougeot</t>
  </si>
  <si>
    <t>Echezeaux</t>
  </si>
  <si>
    <t>Bourgogne Hautes Cotes de Nuits rouge</t>
  </si>
  <si>
    <t>Bourgogne Hautes Cotes de Nuits blancs</t>
  </si>
  <si>
    <t>Moulin a vent</t>
  </si>
  <si>
    <t>Pommard 1er cru les Arvelets</t>
  </si>
  <si>
    <t>Pommard 1er cru les chanlins</t>
  </si>
  <si>
    <t>Pommard 1er cru les pezerolles</t>
  </si>
  <si>
    <t>Richebourg</t>
  </si>
  <si>
    <t>Savigny 1er cru le clos des Guettes</t>
  </si>
  <si>
    <t>Signature VSIG</t>
  </si>
  <si>
    <t>Vosne Romanée aux reas</t>
  </si>
  <si>
    <t>Vosne romanée maizieres</t>
  </si>
  <si>
    <t>Vosne romanée les Chalandins</t>
  </si>
  <si>
    <t>Prix piece</t>
  </si>
  <si>
    <t>plancher</t>
  </si>
  <si>
    <t>bivb</t>
  </si>
  <si>
    <t>Vosne romanée 1er cru les beaumonts</t>
  </si>
  <si>
    <t>Prix Bt exp</t>
  </si>
  <si>
    <t>gevrey rebourseau</t>
  </si>
  <si>
    <t>Gevrey 22 globale apres vente chapuis</t>
  </si>
  <si>
    <t>restant a embouteiller</t>
  </si>
  <si>
    <t>€</t>
  </si>
  <si>
    <t>bt</t>
  </si>
  <si>
    <t>usure</t>
  </si>
  <si>
    <t>formule differente</t>
  </si>
  <si>
    <t>Total rouge domaine</t>
  </si>
  <si>
    <t>Total blancs domaine</t>
  </si>
  <si>
    <t>Total en litres</t>
  </si>
  <si>
    <t>Total gamay</t>
  </si>
  <si>
    <t>usure 6%</t>
  </si>
  <si>
    <t>A prendre sur HNB</t>
  </si>
  <si>
    <t>A prendre sur Moul</t>
  </si>
  <si>
    <t>A prendre sur mixe HN (75% ) et BG (25%)</t>
  </si>
  <si>
    <t>BG</t>
  </si>
  <si>
    <t>HN</t>
  </si>
  <si>
    <t>Avant usure</t>
  </si>
  <si>
    <t>Usure 5%</t>
  </si>
  <si>
    <t>TOTAL</t>
  </si>
  <si>
    <t>CA MINI</t>
  </si>
  <si>
    <t>Bloqué</t>
  </si>
  <si>
    <t>Usure</t>
  </si>
  <si>
    <t>litres</t>
  </si>
  <si>
    <t>a prendre sur Bourg</t>
  </si>
  <si>
    <t>Tirage en Bt</t>
  </si>
  <si>
    <t>Pour les BG je fais x2 sur prix piece + BIVB + courtage soit 1600€ et je divise par 280 bt</t>
  </si>
  <si>
    <t>1600 /280= 6€ x2 +3 soit 15€ HT mini comme le domaine</t>
  </si>
  <si>
    <t>Flora</t>
  </si>
  <si>
    <t>Prix tiré bouché</t>
  </si>
  <si>
    <t>Quantités maxi</t>
  </si>
  <si>
    <t>Prix pro</t>
  </si>
  <si>
    <t xml:space="preserve">Prix de revient </t>
  </si>
  <si>
    <t>si 290 bt/piece</t>
  </si>
  <si>
    <t xml:space="preserve"> X 2</t>
  </si>
  <si>
    <t>prix mini</t>
  </si>
  <si>
    <t xml:space="preserve">rajout </t>
  </si>
  <si>
    <t>mat seches</t>
  </si>
  <si>
    <t>prix pro</t>
  </si>
  <si>
    <t>HT</t>
  </si>
  <si>
    <t>arrondi</t>
  </si>
  <si>
    <t>Prix EXP</t>
  </si>
  <si>
    <t>basé sur prix mini</t>
  </si>
  <si>
    <t>tiré bouché</t>
  </si>
  <si>
    <t>avec bt  + bouchon</t>
  </si>
  <si>
    <t>avec bt</t>
  </si>
  <si>
    <t>bouchon et ct</t>
  </si>
  <si>
    <t>avec marge cpa</t>
  </si>
  <si>
    <t>offre Flora</t>
  </si>
  <si>
    <t>Quantités</t>
  </si>
  <si>
    <t>plancher 5500</t>
  </si>
  <si>
    <t>plancher 15000</t>
  </si>
  <si>
    <t>Prix finaux</t>
  </si>
  <si>
    <t>fixe(perdant 16038)</t>
  </si>
  <si>
    <t>fixe (gagnant 19182)</t>
  </si>
  <si>
    <t>fixe (perdant 993)</t>
  </si>
  <si>
    <t>Prix export 2022</t>
  </si>
  <si>
    <t>Prix export 2023</t>
  </si>
  <si>
    <t>Selon calcul</t>
  </si>
  <si>
    <t>Prix proposé</t>
  </si>
  <si>
    <t>prix export 2023</t>
  </si>
  <si>
    <t>Prix PROFRANCE ASIE EUR</t>
  </si>
  <si>
    <t>Prix USA/COR/GB</t>
  </si>
  <si>
    <t>Prix Pro 2022</t>
  </si>
  <si>
    <t>Prix US GB KOR 2022</t>
  </si>
  <si>
    <t>% avec 2022</t>
  </si>
  <si>
    <t>bouteilles</t>
  </si>
  <si>
    <t>Recolte 2022</t>
  </si>
  <si>
    <t>recolte 2033</t>
  </si>
  <si>
    <t>10 VR 3VM ET 2 VCHA</t>
  </si>
  <si>
    <t>Recolte nette des ventes</t>
  </si>
  <si>
    <t>Usure juillet</t>
  </si>
  <si>
    <t>usure dec</t>
  </si>
  <si>
    <t>Usure totale</t>
  </si>
  <si>
    <t>usure juil</t>
  </si>
  <si>
    <t>usure totale</t>
  </si>
  <si>
    <t>% 2022 vs 2023</t>
  </si>
  <si>
    <t>Total blanc</t>
  </si>
  <si>
    <t>toatl rouge</t>
  </si>
  <si>
    <t>PROJECTION</t>
  </si>
  <si>
    <t>%</t>
  </si>
  <si>
    <t>je decide</t>
  </si>
  <si>
    <t>Pour 2023</t>
  </si>
  <si>
    <t>reste pour mise</t>
  </si>
  <si>
    <t>en litres</t>
  </si>
  <si>
    <t>En BT</t>
  </si>
  <si>
    <t>solde</t>
  </si>
  <si>
    <t>Alloués au 30/05/2024</t>
  </si>
  <si>
    <t>je fais usure pour les 48 bt de fermage de VC</t>
  </si>
  <si>
    <t xml:space="preserve">Ote 3% de pertes </t>
  </si>
  <si>
    <t>En %</t>
  </si>
  <si>
    <t>ceramique</t>
  </si>
  <si>
    <t>cave perso</t>
  </si>
  <si>
    <t>duree elevage reduite</t>
  </si>
  <si>
    <t>Recapitulatif de 2023</t>
  </si>
  <si>
    <t>Le 9 juillet nous choississons entre 13750 bt et 13800 et aussi 60 Mg</t>
  </si>
  <si>
    <t xml:space="preserve">Alloués au </t>
  </si>
  <si>
    <t>usure total entre recolte et mise</t>
  </si>
  <si>
    <t>mises réalisées en eq BT</t>
  </si>
  <si>
    <t>Ote 12% pour les GC</t>
  </si>
  <si>
    <t>Reste ap usur</t>
  </si>
  <si>
    <t>Objectif</t>
  </si>
  <si>
    <t>Mise</t>
  </si>
  <si>
    <t>EN LITRES ou eq bt</t>
  </si>
  <si>
    <t>En BT ou eq bt</t>
  </si>
  <si>
    <t>avec 60 MG</t>
  </si>
  <si>
    <t>EN 2023 ON A VENDU 1 PIECE DE VOSNE ET 1 RB</t>
  </si>
  <si>
    <t>1 VR 1RB</t>
  </si>
  <si>
    <t>EN 2022 ON A VENDU 15 PIECES DE VOSNE ET 1 RB ET 1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</si>
</sst>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i/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" fontId="0" fillId="0" borderId="0" xfId="0" applyNumberFormat="1"/>
    <xf numFmtId="1" fontId="0" fillId="0" borderId="1" xfId="0" applyNumberForma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2" borderId="1" xfId="0" applyFill="1" applyBorder="1"/>
    <xf numFmtId="1" fontId="0" fillId="3" borderId="0" xfId="0" applyNumberFormat="1" applyFill="1"/>
    <xf numFmtId="1" fontId="0" fillId="4" borderId="1" xfId="0" applyNumberFormat="1" applyFill="1" applyBorder="1"/>
    <xf numFmtId="1" fontId="0" fillId="4" borderId="0" xfId="0" applyNumberFormat="1" applyFill="1"/>
    <xf numFmtId="1" fontId="4" fillId="0" borderId="0" xfId="0" applyNumberFormat="1" applyFont="1"/>
    <xf numFmtId="0" fontId="4" fillId="0" borderId="0" xfId="0" applyFont="1"/>
    <xf numFmtId="1" fontId="0" fillId="0" borderId="2" xfId="0" applyNumberFormat="1" applyBorder="1"/>
    <xf numFmtId="1" fontId="0" fillId="0" borderId="3" xfId="0" applyNumberFormat="1" applyBorder="1"/>
    <xf numFmtId="9" fontId="0" fillId="0" borderId="0" xfId="0" applyNumberFormat="1"/>
    <xf numFmtId="0" fontId="0" fillId="4" borderId="1" xfId="0" applyFill="1" applyBorder="1"/>
    <xf numFmtId="0" fontId="5" fillId="0" borderId="0" xfId="0" applyFont="1"/>
    <xf numFmtId="0" fontId="5" fillId="0" borderId="1" xfId="0" applyFont="1" applyBorder="1"/>
    <xf numFmtId="0" fontId="1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9" fillId="0" borderId="1" xfId="0" applyFont="1" applyBorder="1"/>
    <xf numFmtId="0" fontId="9" fillId="5" borderId="1" xfId="0" applyFont="1" applyFill="1" applyBorder="1"/>
    <xf numFmtId="1" fontId="9" fillId="5" borderId="1" xfId="0" applyNumberFormat="1" applyFont="1" applyFill="1" applyBorder="1"/>
    <xf numFmtId="0" fontId="9" fillId="6" borderId="1" xfId="0" applyFont="1" applyFill="1" applyBorder="1"/>
    <xf numFmtId="1" fontId="9" fillId="6" borderId="1" xfId="0" applyNumberFormat="1" applyFont="1" applyFill="1" applyBorder="1"/>
    <xf numFmtId="0" fontId="9" fillId="7" borderId="1" xfId="0" applyFont="1" applyFill="1" applyBorder="1"/>
    <xf numFmtId="1" fontId="9" fillId="7" borderId="1" xfId="0" applyNumberFormat="1" applyFont="1" applyFill="1" applyBorder="1"/>
    <xf numFmtId="0" fontId="0" fillId="8" borderId="0" xfId="0" applyFill="1"/>
    <xf numFmtId="0" fontId="0" fillId="8" borderId="1" xfId="0" applyFill="1" applyBorder="1"/>
    <xf numFmtId="1" fontId="0" fillId="8" borderId="1" xfId="0" applyNumberFormat="1" applyFill="1" applyBorder="1"/>
    <xf numFmtId="0" fontId="0" fillId="6" borderId="0" xfId="0" applyFill="1"/>
    <xf numFmtId="0" fontId="0" fillId="6" borderId="1" xfId="0" applyFill="1" applyBorder="1"/>
    <xf numFmtId="1" fontId="0" fillId="6" borderId="1" xfId="0" applyNumberFormat="1" applyFill="1" applyBorder="1"/>
    <xf numFmtId="1" fontId="3" fillId="9" borderId="0" xfId="0" applyNumberFormat="1" applyFont="1" applyFill="1"/>
    <xf numFmtId="0" fontId="10" fillId="0" borderId="1" xfId="0" applyFont="1" applyBorder="1"/>
    <xf numFmtId="0" fontId="0" fillId="10" borderId="0" xfId="0" applyFill="1"/>
    <xf numFmtId="0" fontId="0" fillId="11" borderId="0" xfId="0" applyFill="1"/>
    <xf numFmtId="0" fontId="0" fillId="11" borderId="1" xfId="0" applyFill="1" applyBorder="1"/>
    <xf numFmtId="1" fontId="0" fillId="11" borderId="1" xfId="0" applyNumberFormat="1" applyFill="1" applyBorder="1"/>
    <xf numFmtId="0" fontId="0" fillId="10" borderId="1" xfId="0" applyFill="1" applyBorder="1"/>
    <xf numFmtId="1" fontId="0" fillId="10" borderId="1" xfId="0" applyNumberFormat="1" applyFill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3" fontId="0" fillId="0" borderId="1" xfId="0" applyNumberFormat="1" applyBorder="1"/>
    <xf numFmtId="3" fontId="5" fillId="0" borderId="0" xfId="0" applyNumberFormat="1" applyFont="1"/>
    <xf numFmtId="3" fontId="5" fillId="9" borderId="0" xfId="0" applyNumberFormat="1" applyFont="1" applyFill="1"/>
    <xf numFmtId="9" fontId="0" fillId="10" borderId="4" xfId="0" applyNumberFormat="1" applyFill="1" applyBorder="1"/>
    <xf numFmtId="0" fontId="1" fillId="0" borderId="0" xfId="0" applyFont="1" applyAlignment="1">
      <alignment horizontal="center"/>
    </xf>
    <xf numFmtId="0" fontId="1" fillId="9" borderId="1" xfId="0" applyFont="1" applyFill="1" applyBorder="1"/>
    <xf numFmtId="0" fontId="0" fillId="9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10" borderId="1" xfId="0" applyFont="1" applyFill="1" applyBorder="1"/>
    <xf numFmtId="1" fontId="0" fillId="10" borderId="0" xfId="0" applyNumberFormat="1" applyFill="1"/>
    <xf numFmtId="3" fontId="0" fillId="10" borderId="1" xfId="0" applyNumberFormat="1" applyFill="1" applyBorder="1"/>
    <xf numFmtId="3" fontId="5" fillId="10" borderId="0" xfId="0" applyNumberFormat="1" applyFont="1" applyFill="1"/>
    <xf numFmtId="0" fontId="3" fillId="0" borderId="0" xfId="0" applyFont="1" applyBorder="1" applyAlignment="1">
      <alignment horizontal="center"/>
    </xf>
    <xf numFmtId="0" fontId="0" fillId="10" borderId="0" xfId="0" applyFill="1" applyBorder="1"/>
    <xf numFmtId="0" fontId="4" fillId="0" borderId="4" xfId="0" applyFont="1" applyBorder="1"/>
    <xf numFmtId="0" fontId="4" fillId="10" borderId="0" xfId="0" applyFont="1" applyFill="1" applyBorder="1"/>
    <xf numFmtId="3" fontId="4" fillId="0" borderId="1" xfId="0" applyNumberFormat="1" applyFont="1" applyBorder="1"/>
    <xf numFmtId="0" fontId="4" fillId="9" borderId="0" xfId="0" applyFont="1" applyFill="1" applyAlignment="1">
      <alignment horizontal="center"/>
    </xf>
    <xf numFmtId="0" fontId="4" fillId="9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9920-F9F4-4501-9D19-3EB886607D6A}">
  <sheetPr>
    <pageSetUpPr fitToPage="1"/>
  </sheetPr>
  <dimension ref="A3:X128"/>
  <sheetViews>
    <sheetView tabSelected="1" topLeftCell="A85" workbookViewId="0">
      <selection activeCell="A123" sqref="A123:L127"/>
    </sheetView>
  </sheetViews>
  <sheetFormatPr baseColWidth="10" defaultRowHeight="14.5" x14ac:dyDescent="0.35"/>
  <cols>
    <col min="1" max="1" width="33.81640625" bestFit="1" customWidth="1"/>
    <col min="2" max="2" width="15.6328125" bestFit="1" customWidth="1"/>
    <col min="3" max="3" width="19.08984375" bestFit="1" customWidth="1"/>
    <col min="6" max="7" width="11.26953125" customWidth="1"/>
    <col min="8" max="8" width="30.08984375" customWidth="1"/>
    <col min="9" max="9" width="24.453125" customWidth="1"/>
    <col min="10" max="10" width="14.08984375" customWidth="1"/>
    <col min="11" max="11" width="19.1796875" customWidth="1"/>
    <col min="12" max="12" width="14" style="4" customWidth="1"/>
    <col min="14" max="14" width="21.54296875" customWidth="1"/>
    <col min="15" max="15" width="11.54296875" customWidth="1"/>
    <col min="18" max="18" width="13.26953125" customWidth="1"/>
  </cols>
  <sheetData>
    <row r="3" spans="1:24" x14ac:dyDescent="0.35">
      <c r="K3" t="s">
        <v>37</v>
      </c>
      <c r="M3" s="25" t="s">
        <v>87</v>
      </c>
      <c r="R3" s="21"/>
    </row>
    <row r="4" spans="1:24" x14ac:dyDescent="0.35">
      <c r="M4" s="22"/>
      <c r="O4" t="s">
        <v>68</v>
      </c>
      <c r="P4" t="s">
        <v>69</v>
      </c>
      <c r="Q4" t="s">
        <v>71</v>
      </c>
      <c r="R4" s="21" t="s">
        <v>76</v>
      </c>
      <c r="S4" t="s">
        <v>73</v>
      </c>
    </row>
    <row r="5" spans="1:24" x14ac:dyDescent="0.35">
      <c r="A5">
        <v>2022</v>
      </c>
      <c r="B5" t="s">
        <v>1</v>
      </c>
      <c r="C5" t="s">
        <v>2</v>
      </c>
      <c r="D5" t="s">
        <v>30</v>
      </c>
      <c r="E5" t="s">
        <v>34</v>
      </c>
      <c r="H5">
        <v>2023</v>
      </c>
      <c r="J5" t="s">
        <v>52</v>
      </c>
      <c r="K5" t="s">
        <v>0</v>
      </c>
      <c r="L5" s="4" t="s">
        <v>60</v>
      </c>
      <c r="M5" s="22" t="s">
        <v>30</v>
      </c>
      <c r="O5" t="s">
        <v>67</v>
      </c>
      <c r="P5" t="s">
        <v>70</v>
      </c>
      <c r="Q5" t="s">
        <v>72</v>
      </c>
      <c r="R5" s="21" t="s">
        <v>75</v>
      </c>
      <c r="S5" t="s">
        <v>74</v>
      </c>
      <c r="T5" t="s">
        <v>83</v>
      </c>
    </row>
    <row r="6" spans="1:24" x14ac:dyDescent="0.35">
      <c r="E6" s="19"/>
      <c r="H6" s="3" t="s">
        <v>3</v>
      </c>
      <c r="I6" s="3"/>
      <c r="J6" s="1"/>
      <c r="K6" s="1">
        <v>2052</v>
      </c>
      <c r="L6" s="5">
        <f>(K6-(K6/228*5))*0.99/0.75</f>
        <v>2649.2400000000002</v>
      </c>
      <c r="M6" s="23">
        <v>2383</v>
      </c>
      <c r="N6" s="1" t="s">
        <v>32</v>
      </c>
      <c r="O6">
        <f>M6/290</f>
        <v>8.2172413793103445</v>
      </c>
      <c r="P6">
        <f>O6*2</f>
        <v>16.434482758620689</v>
      </c>
      <c r="Q6">
        <f>P6+3</f>
        <v>19.434482758620689</v>
      </c>
      <c r="R6" s="13">
        <f>Q6+1</f>
        <v>20.434482758620689</v>
      </c>
      <c r="S6" s="4">
        <f>R6/0.8</f>
        <v>25.543103448275861</v>
      </c>
    </row>
    <row r="7" spans="1:24" x14ac:dyDescent="0.35">
      <c r="A7" s="1" t="s">
        <v>35</v>
      </c>
      <c r="B7" s="1">
        <v>2280</v>
      </c>
      <c r="C7" s="57">
        <v>6463</v>
      </c>
      <c r="D7" s="1">
        <v>6651</v>
      </c>
      <c r="E7" s="59">
        <v>70</v>
      </c>
      <c r="H7" s="3" t="s">
        <v>4</v>
      </c>
      <c r="I7" s="3"/>
      <c r="J7" s="1"/>
      <c r="K7" s="1">
        <v>2052</v>
      </c>
      <c r="L7" s="5">
        <f t="shared" ref="L7:L38" si="0">(K7-(K7/228*5))*0.99/0.75</f>
        <v>2649.2400000000002</v>
      </c>
      <c r="M7" s="23">
        <v>2145</v>
      </c>
      <c r="N7" s="1" t="s">
        <v>32</v>
      </c>
      <c r="O7">
        <f t="shared" ref="O7:O14" si="1">M7/290</f>
        <v>7.3965517241379306</v>
      </c>
      <c r="P7">
        <f t="shared" ref="P7:P14" si="2">O7*2</f>
        <v>14.793103448275861</v>
      </c>
      <c r="Q7">
        <f t="shared" ref="Q7:Q14" si="3">P7+3</f>
        <v>17.793103448275861</v>
      </c>
      <c r="R7" s="13">
        <f t="shared" ref="R7:R14" si="4">Q7+1</f>
        <v>18.793103448275861</v>
      </c>
      <c r="S7" s="4">
        <f t="shared" ref="S7:S14" si="5">R7/0.8</f>
        <v>23.491379310344826</v>
      </c>
      <c r="T7">
        <v>20</v>
      </c>
    </row>
    <row r="8" spans="1:24" x14ac:dyDescent="0.35">
      <c r="A8" s="1" t="s">
        <v>5</v>
      </c>
      <c r="B8" s="1">
        <v>3420</v>
      </c>
      <c r="C8" s="58"/>
      <c r="D8" s="1">
        <v>6500</v>
      </c>
      <c r="E8" s="60"/>
      <c r="H8" s="3" t="s">
        <v>5</v>
      </c>
      <c r="I8" s="3"/>
      <c r="J8" s="1"/>
      <c r="K8" s="1">
        <v>3876</v>
      </c>
      <c r="L8" s="5">
        <f t="shared" si="0"/>
        <v>5004.12</v>
      </c>
      <c r="M8" s="23">
        <v>6644</v>
      </c>
      <c r="N8" s="1" t="s">
        <v>85</v>
      </c>
      <c r="O8">
        <f t="shared" si="1"/>
        <v>22.910344827586208</v>
      </c>
      <c r="P8">
        <f t="shared" si="2"/>
        <v>45.820689655172416</v>
      </c>
      <c r="Q8">
        <f t="shared" si="3"/>
        <v>48.820689655172416</v>
      </c>
      <c r="R8" s="13">
        <f t="shared" si="4"/>
        <v>49.820689655172416</v>
      </c>
      <c r="S8" s="4">
        <f t="shared" si="5"/>
        <v>62.275862068965516</v>
      </c>
      <c r="T8">
        <v>47</v>
      </c>
    </row>
    <row r="9" spans="1:24" x14ac:dyDescent="0.35">
      <c r="A9" s="1" t="s">
        <v>6</v>
      </c>
      <c r="B9" s="1">
        <v>456</v>
      </c>
      <c r="C9" s="1">
        <v>588</v>
      </c>
      <c r="D9" s="1">
        <v>15377</v>
      </c>
      <c r="E9" s="20">
        <v>130</v>
      </c>
      <c r="H9" s="3" t="s">
        <v>6</v>
      </c>
      <c r="I9" s="3"/>
      <c r="J9" s="1"/>
      <c r="K9" s="1">
        <v>684</v>
      </c>
      <c r="L9" s="5">
        <f t="shared" si="0"/>
        <v>883.07999999999993</v>
      </c>
      <c r="M9" s="23">
        <v>15252</v>
      </c>
      <c r="N9" s="1" t="s">
        <v>86</v>
      </c>
      <c r="O9">
        <f t="shared" si="1"/>
        <v>52.593103448275862</v>
      </c>
      <c r="P9">
        <f t="shared" si="2"/>
        <v>105.18620689655172</v>
      </c>
      <c r="Q9">
        <f t="shared" si="3"/>
        <v>108.18620689655172</v>
      </c>
      <c r="R9" s="13">
        <f t="shared" si="4"/>
        <v>109.18620689655172</v>
      </c>
      <c r="S9" s="4">
        <f t="shared" si="5"/>
        <v>136.48275862068965</v>
      </c>
    </row>
    <row r="10" spans="1:24" x14ac:dyDescent="0.35">
      <c r="A10" s="1" t="s">
        <v>7</v>
      </c>
      <c r="B10" s="1">
        <v>684</v>
      </c>
      <c r="C10" s="1">
        <v>882</v>
      </c>
      <c r="D10" s="1">
        <v>4933</v>
      </c>
      <c r="E10" s="20">
        <v>50</v>
      </c>
      <c r="H10" s="3" t="s">
        <v>7</v>
      </c>
      <c r="I10" s="3"/>
      <c r="J10" s="1"/>
      <c r="K10" s="1">
        <v>684</v>
      </c>
      <c r="L10" s="5">
        <f t="shared" si="0"/>
        <v>883.07999999999993</v>
      </c>
      <c r="M10" s="23">
        <v>4850</v>
      </c>
      <c r="N10" s="1" t="s">
        <v>32</v>
      </c>
      <c r="O10">
        <f t="shared" si="1"/>
        <v>16.724137931034484</v>
      </c>
      <c r="P10">
        <f t="shared" si="2"/>
        <v>33.448275862068968</v>
      </c>
      <c r="Q10">
        <f t="shared" si="3"/>
        <v>36.448275862068968</v>
      </c>
      <c r="R10" s="13">
        <f t="shared" si="4"/>
        <v>37.448275862068968</v>
      </c>
      <c r="S10" s="4">
        <f t="shared" si="5"/>
        <v>46.810344827586206</v>
      </c>
    </row>
    <row r="11" spans="1:24" x14ac:dyDescent="0.35">
      <c r="A11" s="1" t="s">
        <v>33</v>
      </c>
      <c r="B11" s="1">
        <v>228</v>
      </c>
      <c r="C11" s="1">
        <v>295</v>
      </c>
      <c r="D11" s="1">
        <v>25000</v>
      </c>
      <c r="E11" s="20">
        <v>203</v>
      </c>
      <c r="H11" s="3" t="s">
        <v>8</v>
      </c>
      <c r="I11" s="3"/>
      <c r="J11" s="1"/>
      <c r="K11" s="1">
        <v>1140</v>
      </c>
      <c r="L11" s="5">
        <f t="shared" si="0"/>
        <v>1471.8</v>
      </c>
      <c r="M11" s="23">
        <v>8051</v>
      </c>
      <c r="N11" s="1" t="s">
        <v>32</v>
      </c>
      <c r="O11">
        <f t="shared" si="1"/>
        <v>27.762068965517241</v>
      </c>
      <c r="P11">
        <f t="shared" si="2"/>
        <v>55.524137931034481</v>
      </c>
      <c r="Q11">
        <f t="shared" si="3"/>
        <v>58.524137931034481</v>
      </c>
      <c r="R11" s="13">
        <f t="shared" si="4"/>
        <v>59.524137931034481</v>
      </c>
      <c r="S11" s="4">
        <f t="shared" si="5"/>
        <v>74.405172413793096</v>
      </c>
      <c r="T11">
        <v>64</v>
      </c>
    </row>
    <row r="12" spans="1:24" x14ac:dyDescent="0.35">
      <c r="H12" s="1" t="s">
        <v>9</v>
      </c>
      <c r="I12" s="1"/>
      <c r="J12" s="1"/>
      <c r="K12" s="1">
        <v>912</v>
      </c>
      <c r="L12" s="5">
        <f t="shared" si="0"/>
        <v>1177.44</v>
      </c>
      <c r="M12" s="24">
        <v>18000</v>
      </c>
      <c r="N12" s="1" t="s">
        <v>89</v>
      </c>
      <c r="O12">
        <f t="shared" si="1"/>
        <v>62.068965517241381</v>
      </c>
      <c r="P12">
        <f t="shared" si="2"/>
        <v>124.13793103448276</v>
      </c>
      <c r="Q12">
        <f t="shared" si="3"/>
        <v>127.13793103448276</v>
      </c>
      <c r="R12" s="13">
        <f t="shared" si="4"/>
        <v>128.13793103448276</v>
      </c>
      <c r="S12" s="4">
        <f t="shared" si="5"/>
        <v>160.17241379310343</v>
      </c>
      <c r="T12">
        <v>157</v>
      </c>
    </row>
    <row r="13" spans="1:24" x14ac:dyDescent="0.35">
      <c r="H13" s="1" t="s">
        <v>10</v>
      </c>
      <c r="I13" s="1"/>
      <c r="J13" s="1"/>
      <c r="K13" s="1">
        <v>684</v>
      </c>
      <c r="L13" s="15">
        <f t="shared" si="0"/>
        <v>883.07999999999993</v>
      </c>
      <c r="M13" s="24">
        <v>16500</v>
      </c>
      <c r="N13" s="1" t="s">
        <v>88</v>
      </c>
      <c r="O13">
        <f t="shared" si="1"/>
        <v>56.896551724137929</v>
      </c>
      <c r="P13">
        <f t="shared" si="2"/>
        <v>113.79310344827586</v>
      </c>
      <c r="Q13">
        <f t="shared" si="3"/>
        <v>116.79310344827586</v>
      </c>
      <c r="R13" s="13">
        <f t="shared" si="4"/>
        <v>117.79310344827586</v>
      </c>
      <c r="S13" s="4">
        <f t="shared" si="5"/>
        <v>147.24137931034483</v>
      </c>
      <c r="T13">
        <v>145</v>
      </c>
    </row>
    <row r="14" spans="1:24" x14ac:dyDescent="0.35">
      <c r="H14" s="1" t="s">
        <v>11</v>
      </c>
      <c r="I14" s="1"/>
      <c r="J14" s="1">
        <v>5814</v>
      </c>
      <c r="K14" s="1">
        <f>J14-J17</f>
        <v>4740.12</v>
      </c>
      <c r="L14" s="5">
        <f t="shared" si="0"/>
        <v>6119.7443999999996</v>
      </c>
      <c r="M14" s="24">
        <v>1500</v>
      </c>
      <c r="N14" s="1" t="s">
        <v>90</v>
      </c>
      <c r="O14">
        <f t="shared" si="1"/>
        <v>5.1724137931034484</v>
      </c>
      <c r="P14">
        <f t="shared" si="2"/>
        <v>10.344827586206897</v>
      </c>
      <c r="Q14">
        <f t="shared" si="3"/>
        <v>13.344827586206897</v>
      </c>
      <c r="R14" s="13">
        <f t="shared" si="4"/>
        <v>14.344827586206897</v>
      </c>
      <c r="S14" s="4">
        <f t="shared" si="5"/>
        <v>17.931034482758619</v>
      </c>
      <c r="T14">
        <v>15.5</v>
      </c>
      <c r="U14" t="s">
        <v>40</v>
      </c>
      <c r="V14" t="s">
        <v>41</v>
      </c>
      <c r="X14">
        <f>T14*L14</f>
        <v>94856.038199999995</v>
      </c>
    </row>
    <row r="15" spans="1:24" x14ac:dyDescent="0.35">
      <c r="H15" s="6" t="s">
        <v>44</v>
      </c>
      <c r="I15" s="67"/>
      <c r="J15" s="7"/>
      <c r="K15" s="7">
        <f>K6+K7+K8+K9+K10+K11+K12+K13+J14</f>
        <v>17898</v>
      </c>
      <c r="X15" t="s">
        <v>54</v>
      </c>
    </row>
    <row r="16" spans="1:24" x14ac:dyDescent="0.35">
      <c r="J16" s="17">
        <v>0.06</v>
      </c>
      <c r="N16" t="s">
        <v>61</v>
      </c>
    </row>
    <row r="17" spans="1:21" x14ac:dyDescent="0.35">
      <c r="H17" s="7" t="s">
        <v>57</v>
      </c>
      <c r="I17" s="7"/>
      <c r="J17" s="7">
        <f>K15*0.06</f>
        <v>1073.8799999999999</v>
      </c>
      <c r="K17" s="7" t="s">
        <v>58</v>
      </c>
      <c r="L17" s="4" t="s">
        <v>59</v>
      </c>
      <c r="N17" t="s">
        <v>62</v>
      </c>
    </row>
    <row r="18" spans="1:21" x14ac:dyDescent="0.35">
      <c r="H18" s="7"/>
      <c r="I18" s="7"/>
      <c r="J18" s="7"/>
      <c r="K18" s="7"/>
    </row>
    <row r="19" spans="1:21" x14ac:dyDescent="0.35">
      <c r="H19" s="7"/>
      <c r="I19" s="7"/>
      <c r="J19" s="7"/>
      <c r="K19" s="7"/>
    </row>
    <row r="20" spans="1:21" x14ac:dyDescent="0.35">
      <c r="B20" t="s">
        <v>0</v>
      </c>
      <c r="C20" s="4" t="s">
        <v>60</v>
      </c>
      <c r="D20" t="s">
        <v>115</v>
      </c>
      <c r="E20" t="s">
        <v>34</v>
      </c>
      <c r="L20" s="4" t="s">
        <v>60</v>
      </c>
      <c r="M20" t="s">
        <v>100</v>
      </c>
      <c r="O20" t="s">
        <v>34</v>
      </c>
      <c r="S20" t="s">
        <v>55</v>
      </c>
      <c r="T20" t="s">
        <v>56</v>
      </c>
    </row>
    <row r="21" spans="1:21" x14ac:dyDescent="0.35">
      <c r="A21" t="s">
        <v>12</v>
      </c>
      <c r="B21" s="1">
        <v>1590</v>
      </c>
      <c r="C21" s="1">
        <v>2053</v>
      </c>
      <c r="D21" s="1">
        <f>1-(C21/(B21/0.75))</f>
        <v>3.1603773584905626E-2</v>
      </c>
      <c r="E21" s="1">
        <v>45</v>
      </c>
      <c r="H21" s="1" t="s">
        <v>12</v>
      </c>
      <c r="I21" s="1"/>
      <c r="J21" s="1"/>
      <c r="K21" s="1">
        <v>1514</v>
      </c>
      <c r="L21" s="5">
        <f t="shared" si="0"/>
        <v>1954.6536842105263</v>
      </c>
      <c r="M21" s="1">
        <f>L21/C21*100</f>
        <v>95.209629040941365</v>
      </c>
      <c r="N21" s="1"/>
      <c r="O21" s="1">
        <v>45</v>
      </c>
      <c r="S21" s="5">
        <f>O21*L21</f>
        <v>87959.415789473685</v>
      </c>
    </row>
    <row r="22" spans="1:21" x14ac:dyDescent="0.35">
      <c r="A22" t="s">
        <v>13</v>
      </c>
      <c r="B22" s="1">
        <v>1596</v>
      </c>
      <c r="C22" s="1">
        <v>2060</v>
      </c>
      <c r="D22" s="1">
        <f t="shared" ref="D22:D38" si="6">1-(C22/(B22/0.75))</f>
        <v>3.1954887218045069E-2</v>
      </c>
      <c r="E22" s="1">
        <v>37</v>
      </c>
      <c r="H22" s="1" t="s">
        <v>13</v>
      </c>
      <c r="I22" s="1"/>
      <c r="J22" s="1"/>
      <c r="K22" s="1">
        <v>1540</v>
      </c>
      <c r="L22" s="16">
        <f t="shared" si="0"/>
        <v>1988.2210526315791</v>
      </c>
      <c r="M22" s="1">
        <f t="shared" ref="M22:M38" si="7">L22/C22*100</f>
        <v>96.515585079202864</v>
      </c>
      <c r="N22" s="1"/>
      <c r="O22" s="1">
        <v>37</v>
      </c>
      <c r="S22" s="5">
        <f t="shared" ref="S22:S38" si="8">O22*L22</f>
        <v>73564.178947368433</v>
      </c>
    </row>
    <row r="23" spans="1:21" x14ac:dyDescent="0.35">
      <c r="A23" t="s">
        <v>14</v>
      </c>
      <c r="B23" s="1">
        <v>4150</v>
      </c>
      <c r="C23" s="1">
        <v>4300</v>
      </c>
      <c r="D23" s="1">
        <f t="shared" si="6"/>
        <v>0.22289156626506024</v>
      </c>
      <c r="E23" s="1">
        <v>15</v>
      </c>
      <c r="H23" s="1" t="s">
        <v>14</v>
      </c>
      <c r="I23" s="1"/>
      <c r="J23" s="1">
        <v>4261</v>
      </c>
      <c r="K23" s="9">
        <f>J23-R41</f>
        <v>3622.645</v>
      </c>
      <c r="L23" s="5">
        <f t="shared" si="0"/>
        <v>4677.025360526316</v>
      </c>
      <c r="M23" s="1">
        <f t="shared" si="7"/>
        <v>108.76803164014687</v>
      </c>
      <c r="N23" s="1"/>
      <c r="O23" s="1">
        <v>15</v>
      </c>
      <c r="P23" t="s">
        <v>40</v>
      </c>
      <c r="Q23" t="s">
        <v>41</v>
      </c>
      <c r="S23" s="5">
        <f t="shared" si="8"/>
        <v>70155.380407894743</v>
      </c>
    </row>
    <row r="24" spans="1:21" x14ac:dyDescent="0.35">
      <c r="A24" t="s">
        <v>15</v>
      </c>
      <c r="B24" s="1">
        <v>1850</v>
      </c>
      <c r="C24" s="1">
        <v>2093</v>
      </c>
      <c r="D24" s="1">
        <f t="shared" si="6"/>
        <v>0.15148648648648644</v>
      </c>
      <c r="E24" s="1">
        <v>56</v>
      </c>
      <c r="H24" s="1" t="s">
        <v>15</v>
      </c>
      <c r="I24" s="1"/>
      <c r="J24" s="1"/>
      <c r="K24" s="1">
        <v>1940</v>
      </c>
      <c r="L24" s="5">
        <f t="shared" si="0"/>
        <v>2504.6421052631581</v>
      </c>
      <c r="M24" s="1">
        <f t="shared" si="7"/>
        <v>119.66756355772374</v>
      </c>
      <c r="N24" s="1"/>
      <c r="O24" s="1">
        <v>56</v>
      </c>
      <c r="S24" s="5">
        <f t="shared" si="8"/>
        <v>140259.95789473684</v>
      </c>
    </row>
    <row r="25" spans="1:21" s="34" customFormat="1" x14ac:dyDescent="0.35">
      <c r="A25" s="34" t="s">
        <v>16</v>
      </c>
      <c r="B25" s="35">
        <v>2420</v>
      </c>
      <c r="C25" s="35">
        <v>2496</v>
      </c>
      <c r="D25" s="1">
        <f t="shared" si="6"/>
        <v>0.22644628099173547</v>
      </c>
      <c r="E25" s="35">
        <v>215</v>
      </c>
      <c r="H25" s="35" t="s">
        <v>16</v>
      </c>
      <c r="I25" s="35"/>
      <c r="J25" s="35"/>
      <c r="K25" s="35">
        <v>2506</v>
      </c>
      <c r="L25" s="36">
        <f t="shared" si="0"/>
        <v>3235.3778947368414</v>
      </c>
      <c r="M25" s="35">
        <f t="shared" si="7"/>
        <v>129.62251180836702</v>
      </c>
      <c r="N25" s="35"/>
      <c r="O25" s="35">
        <v>215</v>
      </c>
      <c r="S25" s="36">
        <f t="shared" si="8"/>
        <v>695606.24736842094</v>
      </c>
      <c r="T25" s="34">
        <v>600</v>
      </c>
      <c r="U25" s="34">
        <f>T25*O25</f>
        <v>129000</v>
      </c>
    </row>
    <row r="26" spans="1:21" s="37" customFormat="1" x14ac:dyDescent="0.35">
      <c r="A26" s="37" t="s">
        <v>17</v>
      </c>
      <c r="B26" s="38">
        <v>2390</v>
      </c>
      <c r="C26" s="38">
        <v>4162</v>
      </c>
      <c r="D26" s="1">
        <f t="shared" si="6"/>
        <v>-0.30606694560669467</v>
      </c>
      <c r="E26" s="38">
        <v>222</v>
      </c>
      <c r="H26" s="38" t="s">
        <v>17</v>
      </c>
      <c r="I26" s="38"/>
      <c r="J26" s="38"/>
      <c r="K26" s="38">
        <v>2374</v>
      </c>
      <c r="L26" s="39">
        <f t="shared" si="0"/>
        <v>3064.9589473684209</v>
      </c>
      <c r="M26" s="38">
        <f t="shared" si="7"/>
        <v>73.641493209236444</v>
      </c>
      <c r="N26" s="38"/>
      <c r="O26" s="38">
        <v>222</v>
      </c>
      <c r="S26" s="39">
        <f t="shared" si="8"/>
        <v>680420.88631578942</v>
      </c>
      <c r="T26" s="37">
        <v>600</v>
      </c>
      <c r="U26" s="37">
        <f>T26*O26</f>
        <v>133200</v>
      </c>
    </row>
    <row r="27" spans="1:21" x14ac:dyDescent="0.35">
      <c r="A27" t="s">
        <v>18</v>
      </c>
      <c r="B27" s="1">
        <v>8892</v>
      </c>
      <c r="C27" s="1">
        <v>11176</v>
      </c>
      <c r="D27" s="1">
        <f t="shared" si="6"/>
        <v>5.7354925775978449E-2</v>
      </c>
      <c r="E27" s="1">
        <v>15.5</v>
      </c>
      <c r="H27" s="1" t="s">
        <v>18</v>
      </c>
      <c r="I27" s="1"/>
      <c r="J27" s="1">
        <v>11564</v>
      </c>
      <c r="K27" s="9">
        <f>J27-T41</f>
        <v>9648.9349999999995</v>
      </c>
      <c r="L27" s="5">
        <f t="shared" si="0"/>
        <v>12457.28292368421</v>
      </c>
      <c r="M27" s="1">
        <f t="shared" si="7"/>
        <v>111.46459308951513</v>
      </c>
      <c r="N27" s="1"/>
      <c r="O27" s="1">
        <v>15.5</v>
      </c>
      <c r="P27" t="s">
        <v>40</v>
      </c>
      <c r="Q27" t="s">
        <v>41</v>
      </c>
      <c r="S27" s="5">
        <f t="shared" si="8"/>
        <v>193087.88531710525</v>
      </c>
    </row>
    <row r="28" spans="1:21" s="37" customFormat="1" x14ac:dyDescent="0.35">
      <c r="A28" s="37" t="s">
        <v>19</v>
      </c>
      <c r="B28" s="38">
        <v>6498</v>
      </c>
      <c r="C28" s="38">
        <v>7538</v>
      </c>
      <c r="D28" s="1">
        <f t="shared" si="6"/>
        <v>0.12996306555863346</v>
      </c>
      <c r="E28" s="38">
        <v>16</v>
      </c>
      <c r="H28" s="38" t="s">
        <v>19</v>
      </c>
      <c r="I28" s="38"/>
      <c r="J28" s="38">
        <v>5446</v>
      </c>
      <c r="K28" s="39">
        <f>J28-L42</f>
        <v>5028.3999999999996</v>
      </c>
      <c r="L28" s="39">
        <f t="shared" si="0"/>
        <v>6491.929052631579</v>
      </c>
      <c r="M28" s="38">
        <f t="shared" si="7"/>
        <v>86.122699026685851</v>
      </c>
      <c r="N28" s="38"/>
      <c r="O28" s="38">
        <v>16</v>
      </c>
      <c r="P28" s="37" t="s">
        <v>40</v>
      </c>
      <c r="Q28" s="37" t="s">
        <v>41</v>
      </c>
      <c r="S28" s="39">
        <f t="shared" si="8"/>
        <v>103870.86484210526</v>
      </c>
    </row>
    <row r="29" spans="1:21" x14ac:dyDescent="0.35">
      <c r="A29" t="s">
        <v>20</v>
      </c>
      <c r="B29" s="1">
        <v>9120</v>
      </c>
      <c r="C29" s="1">
        <v>11842</v>
      </c>
      <c r="D29" s="1">
        <f t="shared" si="6"/>
        <v>2.6151315789473717E-2</v>
      </c>
      <c r="E29" s="1">
        <v>14</v>
      </c>
      <c r="H29" s="1" t="s">
        <v>20</v>
      </c>
      <c r="I29" s="1"/>
      <c r="J29" s="1">
        <v>10944</v>
      </c>
      <c r="K29" s="11">
        <f>J29-L45</f>
        <v>10396.799999999999</v>
      </c>
      <c r="L29" s="5">
        <f t="shared" si="0"/>
        <v>13422.815999999999</v>
      </c>
      <c r="M29" s="1">
        <f t="shared" si="7"/>
        <v>113.34923154872487</v>
      </c>
      <c r="N29" s="1"/>
      <c r="O29" s="1">
        <v>14</v>
      </c>
      <c r="P29" t="s">
        <v>40</v>
      </c>
      <c r="Q29" t="s">
        <v>41</v>
      </c>
      <c r="S29" s="5">
        <f t="shared" si="8"/>
        <v>187919.424</v>
      </c>
    </row>
    <row r="30" spans="1:21" x14ac:dyDescent="0.35">
      <c r="A30" t="s">
        <v>21</v>
      </c>
      <c r="B30" s="1">
        <v>1482</v>
      </c>
      <c r="C30" s="1">
        <v>1912</v>
      </c>
      <c r="D30" s="1">
        <f t="shared" si="6"/>
        <v>3.2388663967611309E-2</v>
      </c>
      <c r="E30" s="1">
        <v>71</v>
      </c>
      <c r="H30" s="1" t="s">
        <v>21</v>
      </c>
      <c r="I30" s="1"/>
      <c r="J30" s="1"/>
      <c r="K30" s="1">
        <v>1606</v>
      </c>
      <c r="L30" s="5">
        <f t="shared" si="0"/>
        <v>2073.4305263157894</v>
      </c>
      <c r="M30" s="1">
        <f t="shared" si="7"/>
        <v>108.44301915877558</v>
      </c>
      <c r="N30" s="1"/>
      <c r="O30" s="1">
        <v>71</v>
      </c>
      <c r="S30" s="5">
        <f t="shared" si="8"/>
        <v>147213.56736842103</v>
      </c>
    </row>
    <row r="31" spans="1:21" s="34" customFormat="1" x14ac:dyDescent="0.35">
      <c r="A31" s="34" t="s">
        <v>22</v>
      </c>
      <c r="B31" s="35">
        <v>456</v>
      </c>
      <c r="C31" s="35">
        <v>558</v>
      </c>
      <c r="D31" s="1">
        <f t="shared" si="6"/>
        <v>8.2236842105263164E-2</v>
      </c>
      <c r="E31" s="35">
        <v>71</v>
      </c>
      <c r="H31" s="35" t="s">
        <v>22</v>
      </c>
      <c r="I31" s="35"/>
      <c r="J31" s="35"/>
      <c r="K31" s="35">
        <v>684</v>
      </c>
      <c r="L31" s="36">
        <f t="shared" si="0"/>
        <v>883.07999999999993</v>
      </c>
      <c r="M31" s="35">
        <f t="shared" si="7"/>
        <v>158.25806451612902</v>
      </c>
      <c r="N31" s="35"/>
      <c r="O31" s="35">
        <v>71</v>
      </c>
      <c r="S31" s="36">
        <f t="shared" si="8"/>
        <v>62698.679999999993</v>
      </c>
    </row>
    <row r="32" spans="1:21" s="34" customFormat="1" x14ac:dyDescent="0.35">
      <c r="A32" s="34" t="s">
        <v>23</v>
      </c>
      <c r="B32" s="35">
        <v>1368</v>
      </c>
      <c r="C32" s="35">
        <v>1765</v>
      </c>
      <c r="D32" s="1">
        <f t="shared" si="6"/>
        <v>3.2346491228070207E-2</v>
      </c>
      <c r="E32" s="35">
        <v>71</v>
      </c>
      <c r="H32" s="35" t="s">
        <v>23</v>
      </c>
      <c r="I32" s="35"/>
      <c r="J32" s="35"/>
      <c r="K32" s="35">
        <v>1734</v>
      </c>
      <c r="L32" s="36">
        <f t="shared" si="0"/>
        <v>2238.6852631578945</v>
      </c>
      <c r="M32" s="35">
        <f t="shared" si="7"/>
        <v>126.83769196362009</v>
      </c>
      <c r="N32" s="35"/>
      <c r="O32" s="35">
        <v>71</v>
      </c>
      <c r="S32" s="36">
        <f t="shared" si="8"/>
        <v>158946.6536842105</v>
      </c>
    </row>
    <row r="33" spans="1:22" x14ac:dyDescent="0.35">
      <c r="A33" t="s">
        <v>24</v>
      </c>
      <c r="B33" s="1">
        <v>2060</v>
      </c>
      <c r="C33" s="1">
        <v>2364</v>
      </c>
      <c r="D33" s="1">
        <f t="shared" si="6"/>
        <v>0.13932038834951455</v>
      </c>
      <c r="E33" s="1">
        <v>510</v>
      </c>
      <c r="H33" s="1" t="s">
        <v>24</v>
      </c>
      <c r="I33" s="1"/>
      <c r="J33" s="1"/>
      <c r="K33" s="1">
        <v>2084</v>
      </c>
      <c r="L33" s="5">
        <f t="shared" si="0"/>
        <v>2690.5536842105262</v>
      </c>
      <c r="M33" s="1">
        <f t="shared" si="7"/>
        <v>113.8136076231187</v>
      </c>
      <c r="N33" s="1"/>
      <c r="O33" s="1">
        <v>510</v>
      </c>
      <c r="S33" s="5">
        <f t="shared" si="8"/>
        <v>1372182.3789473684</v>
      </c>
      <c r="T33">
        <v>300</v>
      </c>
      <c r="U33">
        <f>T33*O33</f>
        <v>153000</v>
      </c>
    </row>
    <row r="34" spans="1:22" x14ac:dyDescent="0.35">
      <c r="A34" t="s">
        <v>25</v>
      </c>
      <c r="B34" s="1">
        <v>2440</v>
      </c>
      <c r="C34" s="1">
        <v>3000</v>
      </c>
      <c r="D34" s="1">
        <f t="shared" si="6"/>
        <v>7.7868852459016424E-2</v>
      </c>
      <c r="E34" s="1">
        <v>36</v>
      </c>
      <c r="H34" s="1" t="s">
        <v>25</v>
      </c>
      <c r="I34" s="1"/>
      <c r="J34" s="1"/>
      <c r="K34" s="1">
        <v>2402</v>
      </c>
      <c r="L34" s="5">
        <f t="shared" si="0"/>
        <v>3101.1084210526315</v>
      </c>
      <c r="M34" s="1">
        <f t="shared" si="7"/>
        <v>103.37028070175438</v>
      </c>
      <c r="N34" s="1"/>
      <c r="O34" s="1">
        <v>36</v>
      </c>
      <c r="S34" s="5">
        <f t="shared" si="8"/>
        <v>111639.90315789473</v>
      </c>
    </row>
    <row r="35" spans="1:22" x14ac:dyDescent="0.35">
      <c r="A35" t="s">
        <v>26</v>
      </c>
      <c r="B35" s="1"/>
      <c r="C35" s="1">
        <v>1200</v>
      </c>
      <c r="D35" s="1" t="e">
        <f t="shared" si="6"/>
        <v>#DIV/0!</v>
      </c>
      <c r="E35" s="1"/>
      <c r="H35" s="1" t="s">
        <v>26</v>
      </c>
      <c r="I35" s="1"/>
      <c r="J35" s="1"/>
      <c r="K35" s="1">
        <v>1142</v>
      </c>
      <c r="L35" s="5">
        <f t="shared" si="0"/>
        <v>1474.3821052631577</v>
      </c>
      <c r="M35" s="1">
        <f t="shared" si="7"/>
        <v>122.86517543859648</v>
      </c>
      <c r="N35" s="1"/>
      <c r="O35" s="1"/>
      <c r="S35" s="5">
        <f t="shared" si="8"/>
        <v>0</v>
      </c>
    </row>
    <row r="36" spans="1:22" s="34" customFormat="1" x14ac:dyDescent="0.35">
      <c r="A36" s="34" t="s">
        <v>27</v>
      </c>
      <c r="B36" s="35">
        <v>3762</v>
      </c>
      <c r="C36" s="35">
        <v>4047</v>
      </c>
      <c r="D36" s="1">
        <f t="shared" si="6"/>
        <v>0.19318181818181823</v>
      </c>
      <c r="E36" s="35">
        <v>56</v>
      </c>
      <c r="H36" s="35" t="s">
        <v>27</v>
      </c>
      <c r="I36" s="35"/>
      <c r="J36" s="35"/>
      <c r="K36" s="35">
        <v>5370</v>
      </c>
      <c r="L36" s="36">
        <f t="shared" si="0"/>
        <v>6932.9526315789481</v>
      </c>
      <c r="M36" s="35">
        <f t="shared" si="7"/>
        <v>171.31091256681364</v>
      </c>
      <c r="N36" s="35"/>
      <c r="O36" s="35">
        <v>56</v>
      </c>
      <c r="S36" s="36">
        <f t="shared" si="8"/>
        <v>388245.34736842109</v>
      </c>
    </row>
    <row r="37" spans="1:22" s="34" customFormat="1" x14ac:dyDescent="0.35">
      <c r="A37" s="34" t="s">
        <v>28</v>
      </c>
      <c r="B37" s="35">
        <v>684</v>
      </c>
      <c r="C37" s="35">
        <v>882</v>
      </c>
      <c r="D37" s="1">
        <f t="shared" si="6"/>
        <v>3.289473684210531E-2</v>
      </c>
      <c r="E37" s="35">
        <v>56</v>
      </c>
      <c r="H37" s="35" t="s">
        <v>28</v>
      </c>
      <c r="I37" s="35"/>
      <c r="J37" s="35"/>
      <c r="K37" s="35">
        <v>1526</v>
      </c>
      <c r="L37" s="36">
        <f t="shared" si="0"/>
        <v>1970.1463157894734</v>
      </c>
      <c r="M37" s="35">
        <f t="shared" si="7"/>
        <v>223.37259816207182</v>
      </c>
      <c r="N37" s="35"/>
      <c r="O37" s="35">
        <v>56</v>
      </c>
      <c r="S37" s="36">
        <f t="shared" si="8"/>
        <v>110328.19368421051</v>
      </c>
    </row>
    <row r="38" spans="1:22" s="34" customFormat="1" x14ac:dyDescent="0.35">
      <c r="A38" s="34" t="s">
        <v>29</v>
      </c>
      <c r="B38" s="35">
        <v>1368</v>
      </c>
      <c r="C38" s="35">
        <v>1765</v>
      </c>
      <c r="D38" s="1">
        <f t="shared" si="6"/>
        <v>3.2346491228070207E-2</v>
      </c>
      <c r="E38" s="35">
        <v>56</v>
      </c>
      <c r="H38" s="35" t="s">
        <v>29</v>
      </c>
      <c r="I38" s="35"/>
      <c r="J38" s="35"/>
      <c r="K38" s="35">
        <v>1824</v>
      </c>
      <c r="L38" s="36">
        <f t="shared" si="0"/>
        <v>2354.88</v>
      </c>
      <c r="M38" s="35">
        <f t="shared" si="7"/>
        <v>133.42096317280453</v>
      </c>
      <c r="N38" s="35"/>
      <c r="O38" s="35">
        <v>56</v>
      </c>
      <c r="S38" s="36">
        <f t="shared" si="8"/>
        <v>131873.28</v>
      </c>
    </row>
    <row r="39" spans="1:22" x14ac:dyDescent="0.35">
      <c r="L39" s="40">
        <f>SUM(L21:L38)</f>
        <v>73516.125968421067</v>
      </c>
      <c r="M39" t="s">
        <v>101</v>
      </c>
      <c r="S39" s="13">
        <f>SUM(S21:S38)</f>
        <v>4715972.2450934211</v>
      </c>
      <c r="U39" s="14">
        <f>SUM(U21:U38)</f>
        <v>415200</v>
      </c>
      <c r="V39" s="4">
        <f>S39-U39</f>
        <v>4300772.2450934211</v>
      </c>
    </row>
    <row r="40" spans="1:22" x14ac:dyDescent="0.35">
      <c r="L40" s="4" t="s">
        <v>46</v>
      </c>
    </row>
    <row r="41" spans="1:22" x14ac:dyDescent="0.35">
      <c r="H41" s="7" t="s">
        <v>42</v>
      </c>
      <c r="I41" s="7"/>
      <c r="J41" s="7"/>
      <c r="K41" s="7">
        <f>K38+K37+K36+K35+K34+K33+K32+K31+K30+J27+K26+K25+K24+J23+K22</f>
        <v>42557</v>
      </c>
      <c r="L41" s="4">
        <f>K41*0.06</f>
        <v>2553.42</v>
      </c>
      <c r="M41" t="s">
        <v>49</v>
      </c>
      <c r="Q41" s="8" t="s">
        <v>50</v>
      </c>
      <c r="R41">
        <f>L41*0.25</f>
        <v>638.35500000000002</v>
      </c>
      <c r="S41" s="8" t="s">
        <v>51</v>
      </c>
      <c r="T41">
        <f>L41*0.75</f>
        <v>1915.0650000000001</v>
      </c>
    </row>
    <row r="42" spans="1:22" x14ac:dyDescent="0.35">
      <c r="H42" s="7" t="s">
        <v>43</v>
      </c>
      <c r="I42" s="7"/>
      <c r="J42" s="7"/>
      <c r="K42" s="7">
        <f>J28+K21</f>
        <v>6960</v>
      </c>
      <c r="L42" s="10">
        <f t="shared" ref="L42" si="9">K42*0.06</f>
        <v>417.59999999999997</v>
      </c>
      <c r="M42" t="s">
        <v>47</v>
      </c>
    </row>
    <row r="43" spans="1:22" x14ac:dyDescent="0.35">
      <c r="B43">
        <v>2022</v>
      </c>
      <c r="C43" t="s">
        <v>39</v>
      </c>
      <c r="D43" t="s">
        <v>38</v>
      </c>
      <c r="E43" t="s">
        <v>34</v>
      </c>
    </row>
    <row r="44" spans="1:22" x14ac:dyDescent="0.35">
      <c r="A44" s="1" t="s">
        <v>36</v>
      </c>
      <c r="B44" s="1">
        <v>5016</v>
      </c>
      <c r="C44" s="1">
        <v>6463</v>
      </c>
      <c r="D44" s="1">
        <v>6560</v>
      </c>
      <c r="E44" s="1">
        <v>70</v>
      </c>
      <c r="L44" s="4" t="s">
        <v>53</v>
      </c>
    </row>
    <row r="45" spans="1:22" x14ac:dyDescent="0.35">
      <c r="H45" s="7" t="s">
        <v>45</v>
      </c>
      <c r="I45" s="7"/>
      <c r="J45" s="7"/>
      <c r="K45" s="7">
        <f>J29</f>
        <v>10944</v>
      </c>
      <c r="L45" s="12">
        <f>K45*0.05</f>
        <v>547.20000000000005</v>
      </c>
      <c r="M45" t="s">
        <v>48</v>
      </c>
    </row>
    <row r="49" spans="8:16" x14ac:dyDescent="0.35">
      <c r="M49" t="s">
        <v>93</v>
      </c>
      <c r="N49" s="4" t="s">
        <v>94</v>
      </c>
      <c r="P49" s="61" t="s">
        <v>96</v>
      </c>
    </row>
    <row r="50" spans="8:16" x14ac:dyDescent="0.35">
      <c r="H50" s="26">
        <v>2023</v>
      </c>
      <c r="I50" s="26"/>
      <c r="J50" t="s">
        <v>91</v>
      </c>
      <c r="K50" t="s">
        <v>99</v>
      </c>
      <c r="L50" t="s">
        <v>98</v>
      </c>
      <c r="M50" t="s">
        <v>92</v>
      </c>
      <c r="N50" s="4" t="s">
        <v>95</v>
      </c>
      <c r="O50" t="s">
        <v>97</v>
      </c>
      <c r="P50" s="62"/>
    </row>
    <row r="51" spans="8:16" x14ac:dyDescent="0.35">
      <c r="H51" s="3" t="s">
        <v>3</v>
      </c>
      <c r="I51" s="3"/>
      <c r="J51" s="1"/>
      <c r="K51" s="1"/>
      <c r="L51" s="1"/>
      <c r="M51" s="1">
        <v>20</v>
      </c>
      <c r="N51" s="5">
        <v>20</v>
      </c>
      <c r="O51" s="5">
        <f>(N51/0.9)+1</f>
        <v>23.222222222222221</v>
      </c>
      <c r="P51" s="5">
        <f>(N51/0.8)+1</f>
        <v>26</v>
      </c>
    </row>
    <row r="52" spans="8:16" x14ac:dyDescent="0.35">
      <c r="H52" s="3" t="s">
        <v>4</v>
      </c>
      <c r="I52" s="3"/>
      <c r="J52" s="1"/>
      <c r="K52" s="1"/>
      <c r="L52" s="1"/>
      <c r="M52" s="1">
        <v>19</v>
      </c>
      <c r="N52" s="5">
        <v>19</v>
      </c>
      <c r="O52" s="5">
        <f t="shared" ref="O52:O59" si="10">(N52/0.9)+1</f>
        <v>22.111111111111111</v>
      </c>
      <c r="P52" s="5">
        <f t="shared" ref="P52:P59" si="11">(N52/0.8)+1</f>
        <v>24.75</v>
      </c>
    </row>
    <row r="53" spans="8:16" x14ac:dyDescent="0.35">
      <c r="H53" s="3" t="s">
        <v>5</v>
      </c>
      <c r="I53" s="3"/>
      <c r="J53" s="28">
        <v>70</v>
      </c>
      <c r="K53" s="30">
        <v>77</v>
      </c>
      <c r="L53" s="32">
        <v>88</v>
      </c>
      <c r="M53" s="27">
        <v>50</v>
      </c>
      <c r="N53" s="29">
        <v>61</v>
      </c>
      <c r="O53" s="5">
        <f t="shared" si="10"/>
        <v>68.777777777777771</v>
      </c>
      <c r="P53" s="33">
        <f t="shared" si="11"/>
        <v>77.25</v>
      </c>
    </row>
    <row r="54" spans="8:16" x14ac:dyDescent="0.35">
      <c r="H54" s="3" t="s">
        <v>6</v>
      </c>
      <c r="I54" s="3"/>
      <c r="J54" s="28">
        <v>130</v>
      </c>
      <c r="K54" s="30">
        <v>145</v>
      </c>
      <c r="L54" s="32">
        <v>165</v>
      </c>
      <c r="M54" s="27">
        <v>110</v>
      </c>
      <c r="N54" s="29">
        <v>120</v>
      </c>
      <c r="O54" s="31">
        <f t="shared" si="10"/>
        <v>134.33333333333334</v>
      </c>
      <c r="P54" s="33">
        <f t="shared" si="11"/>
        <v>151</v>
      </c>
    </row>
    <row r="55" spans="8:16" x14ac:dyDescent="0.35">
      <c r="H55" s="3" t="s">
        <v>7</v>
      </c>
      <c r="I55" s="3"/>
      <c r="J55" s="28">
        <v>50</v>
      </c>
      <c r="K55" s="30">
        <v>56</v>
      </c>
      <c r="L55" s="32">
        <v>63</v>
      </c>
      <c r="M55" s="27">
        <v>37</v>
      </c>
      <c r="N55" s="29">
        <v>45</v>
      </c>
      <c r="O55" s="31">
        <f t="shared" si="10"/>
        <v>51</v>
      </c>
      <c r="P55" s="33">
        <f t="shared" si="11"/>
        <v>57.25</v>
      </c>
    </row>
    <row r="56" spans="8:16" x14ac:dyDescent="0.35">
      <c r="H56" s="3" t="s">
        <v>8</v>
      </c>
      <c r="I56" s="3"/>
      <c r="J56" s="1"/>
      <c r="K56" s="1"/>
      <c r="L56" s="1"/>
      <c r="M56" s="1">
        <v>60</v>
      </c>
      <c r="N56" s="5">
        <v>63</v>
      </c>
      <c r="O56" s="5">
        <f t="shared" si="10"/>
        <v>71</v>
      </c>
      <c r="P56" s="5">
        <f t="shared" si="11"/>
        <v>79.75</v>
      </c>
    </row>
    <row r="57" spans="8:16" x14ac:dyDescent="0.35">
      <c r="H57" s="1" t="s">
        <v>9</v>
      </c>
      <c r="I57" s="1"/>
      <c r="J57" s="1"/>
      <c r="K57" s="1"/>
      <c r="L57" s="1"/>
      <c r="M57" s="1">
        <v>128</v>
      </c>
      <c r="N57" s="5">
        <v>128</v>
      </c>
      <c r="O57" s="5">
        <f t="shared" si="10"/>
        <v>143.22222222222223</v>
      </c>
      <c r="P57" s="5">
        <f t="shared" si="11"/>
        <v>161</v>
      </c>
    </row>
    <row r="58" spans="8:16" x14ac:dyDescent="0.35">
      <c r="H58" s="1" t="s">
        <v>10</v>
      </c>
      <c r="I58" s="1"/>
      <c r="J58" s="1"/>
      <c r="K58" s="1"/>
      <c r="L58" s="1"/>
      <c r="M58" s="1">
        <v>118</v>
      </c>
      <c r="N58" s="5">
        <v>118</v>
      </c>
      <c r="O58" s="5">
        <f t="shared" si="10"/>
        <v>132.11111111111111</v>
      </c>
      <c r="P58" s="5">
        <f t="shared" si="11"/>
        <v>148.5</v>
      </c>
    </row>
    <row r="59" spans="8:16" x14ac:dyDescent="0.35">
      <c r="H59" s="1" t="s">
        <v>11</v>
      </c>
      <c r="I59" s="1"/>
      <c r="J59" s="1"/>
      <c r="K59" s="1"/>
      <c r="L59" s="1"/>
      <c r="M59" s="1">
        <v>14</v>
      </c>
      <c r="N59" s="5">
        <v>14</v>
      </c>
      <c r="O59" s="5">
        <f t="shared" si="10"/>
        <v>16.555555555555557</v>
      </c>
      <c r="P59" s="5">
        <f t="shared" si="11"/>
        <v>18.5</v>
      </c>
    </row>
    <row r="67" spans="1:20" x14ac:dyDescent="0.35">
      <c r="C67" t="s">
        <v>138</v>
      </c>
      <c r="P67" t="s">
        <v>119</v>
      </c>
      <c r="Q67" t="s">
        <v>124</v>
      </c>
    </row>
    <row r="68" spans="1:20" x14ac:dyDescent="0.35">
      <c r="B68" t="s">
        <v>102</v>
      </c>
      <c r="C68" t="s">
        <v>105</v>
      </c>
      <c r="D68" t="s">
        <v>106</v>
      </c>
      <c r="E68" t="s">
        <v>107</v>
      </c>
      <c r="F68" s="21" t="s">
        <v>108</v>
      </c>
      <c r="G68" s="21" t="s">
        <v>135</v>
      </c>
      <c r="H68" s="21" t="s">
        <v>133</v>
      </c>
      <c r="I68" s="21" t="s">
        <v>132</v>
      </c>
      <c r="J68" t="s">
        <v>111</v>
      </c>
      <c r="K68" t="s">
        <v>103</v>
      </c>
      <c r="L68" t="s">
        <v>105</v>
      </c>
      <c r="M68" t="s">
        <v>109</v>
      </c>
      <c r="N68" t="s">
        <v>107</v>
      </c>
      <c r="O68" s="21" t="s">
        <v>110</v>
      </c>
      <c r="P68" s="21" t="s">
        <v>118</v>
      </c>
      <c r="Q68" s="26" t="s">
        <v>120</v>
      </c>
      <c r="R68" s="26" t="s">
        <v>122</v>
      </c>
      <c r="S68" s="26" t="s">
        <v>121</v>
      </c>
    </row>
    <row r="69" spans="1:20" s="42" customFormat="1" x14ac:dyDescent="0.35">
      <c r="A69" s="42" t="s">
        <v>12</v>
      </c>
      <c r="B69" s="42">
        <v>1590</v>
      </c>
      <c r="C69" s="63">
        <v>1590</v>
      </c>
      <c r="D69" s="46"/>
      <c r="E69" s="46"/>
      <c r="F69" s="46">
        <f>E69+D69</f>
        <v>0</v>
      </c>
      <c r="G69" s="46">
        <f>C69-F69</f>
        <v>1590</v>
      </c>
      <c r="H69" s="46">
        <v>2053</v>
      </c>
      <c r="I69" s="68">
        <f>(1-(H69/(G69/0.75)))*100</f>
        <v>3.1603773584905626</v>
      </c>
      <c r="J69" s="64">
        <f>L69/C69*100</f>
        <v>95.220125786163521</v>
      </c>
      <c r="K69" s="46">
        <v>1514</v>
      </c>
      <c r="L69" s="63">
        <v>1514</v>
      </c>
      <c r="M69" s="46"/>
      <c r="N69" s="47"/>
      <c r="O69" s="47">
        <f>M69+N69</f>
        <v>0</v>
      </c>
      <c r="P69" s="46">
        <f>L69-O69</f>
        <v>1514</v>
      </c>
      <c r="Q69" s="65">
        <f t="shared" ref="Q69:Q76" si="12">P69*0.97/0.75</f>
        <v>1958.1066666666666</v>
      </c>
      <c r="R69" s="46">
        <v>1650</v>
      </c>
      <c r="S69" s="66">
        <f>Q69-R69</f>
        <v>308.10666666666657</v>
      </c>
    </row>
    <row r="70" spans="1:20" x14ac:dyDescent="0.35">
      <c r="A70" s="43" t="s">
        <v>13</v>
      </c>
      <c r="B70">
        <v>1596</v>
      </c>
      <c r="C70" s="41">
        <v>1596</v>
      </c>
      <c r="D70" s="1"/>
      <c r="E70" s="1"/>
      <c r="F70" s="1">
        <f t="shared" ref="F70:F86" si="13">E70+D70</f>
        <v>0</v>
      </c>
      <c r="G70" s="46">
        <f t="shared" ref="G70:G86" si="14">C70-F70</f>
        <v>1596</v>
      </c>
      <c r="H70" s="1">
        <v>2060</v>
      </c>
      <c r="I70" s="68">
        <f t="shared" ref="I70:I86" si="15">(1-(H70/(G70/0.75)))*100</f>
        <v>3.1954887218045069</v>
      </c>
      <c r="J70" s="4">
        <f t="shared" ref="J70:J86" si="16">L70/C70*100</f>
        <v>96.491228070175438</v>
      </c>
      <c r="K70" s="1">
        <v>1540</v>
      </c>
      <c r="L70" s="41">
        <v>1540</v>
      </c>
      <c r="M70" s="1"/>
      <c r="N70" s="5"/>
      <c r="O70" s="5">
        <f t="shared" ref="O70:O86" si="17">M70+N70</f>
        <v>0</v>
      </c>
      <c r="P70" s="1">
        <f t="shared" ref="P70:P86" si="18">L70-O70</f>
        <v>1540</v>
      </c>
      <c r="Q70" s="50">
        <f t="shared" si="12"/>
        <v>1991.7333333333333</v>
      </c>
      <c r="R70" s="1">
        <v>1683</v>
      </c>
      <c r="S70" s="51">
        <f t="shared" ref="S70:S86" si="19">Q70-R70</f>
        <v>308.73333333333335</v>
      </c>
    </row>
    <row r="71" spans="1:20" x14ac:dyDescent="0.35">
      <c r="A71" s="43" t="s">
        <v>14</v>
      </c>
      <c r="B71">
        <v>4150</v>
      </c>
      <c r="C71" s="41">
        <v>4150</v>
      </c>
      <c r="D71" s="1">
        <v>610</v>
      </c>
      <c r="E71" s="1">
        <v>257</v>
      </c>
      <c r="F71" s="9">
        <f t="shared" si="13"/>
        <v>867</v>
      </c>
      <c r="G71" s="46">
        <f t="shared" si="14"/>
        <v>3283</v>
      </c>
      <c r="H71" s="9">
        <v>4300</v>
      </c>
      <c r="I71" s="68">
        <f t="shared" si="15"/>
        <v>1.7666768199817162</v>
      </c>
      <c r="J71" s="4">
        <f t="shared" si="16"/>
        <v>102.67469879518072</v>
      </c>
      <c r="K71" s="1">
        <v>4261</v>
      </c>
      <c r="L71" s="41">
        <v>4261</v>
      </c>
      <c r="M71" s="1">
        <v>456</v>
      </c>
      <c r="N71" s="5">
        <v>684</v>
      </c>
      <c r="O71" s="5">
        <f t="shared" si="17"/>
        <v>1140</v>
      </c>
      <c r="P71" s="1">
        <f t="shared" si="18"/>
        <v>3121</v>
      </c>
      <c r="Q71" s="50">
        <f t="shared" si="12"/>
        <v>4036.4933333333333</v>
      </c>
      <c r="R71" s="1">
        <v>2694</v>
      </c>
      <c r="S71" s="51">
        <f t="shared" si="19"/>
        <v>1342.4933333333333</v>
      </c>
    </row>
    <row r="72" spans="1:20" x14ac:dyDescent="0.35">
      <c r="A72" s="43" t="s">
        <v>15</v>
      </c>
      <c r="B72">
        <v>1850</v>
      </c>
      <c r="C72" s="41">
        <v>1850</v>
      </c>
      <c r="D72" s="1"/>
      <c r="E72" s="1">
        <v>2.25</v>
      </c>
      <c r="F72" s="1">
        <f t="shared" si="13"/>
        <v>2.25</v>
      </c>
      <c r="G72" s="46">
        <f t="shared" si="14"/>
        <v>1847.75</v>
      </c>
      <c r="H72" s="1">
        <v>2093</v>
      </c>
      <c r="I72" s="68">
        <f t="shared" si="15"/>
        <v>15.045325395751586</v>
      </c>
      <c r="J72" s="4">
        <f t="shared" si="16"/>
        <v>104.86486486486486</v>
      </c>
      <c r="K72" s="1">
        <v>1940</v>
      </c>
      <c r="L72" s="41">
        <v>1940</v>
      </c>
      <c r="M72" s="1"/>
      <c r="N72" s="5"/>
      <c r="O72" s="5">
        <f t="shared" si="17"/>
        <v>0</v>
      </c>
      <c r="P72" s="1">
        <f t="shared" si="18"/>
        <v>1940</v>
      </c>
      <c r="Q72" s="50">
        <f t="shared" si="12"/>
        <v>2509.0666666666666</v>
      </c>
      <c r="R72" s="1">
        <v>1776</v>
      </c>
      <c r="S72" s="51">
        <f t="shared" si="19"/>
        <v>733.06666666666661</v>
      </c>
    </row>
    <row r="73" spans="1:20" x14ac:dyDescent="0.35">
      <c r="A73" s="43" t="s">
        <v>16</v>
      </c>
      <c r="B73">
        <v>2420</v>
      </c>
      <c r="C73" s="41">
        <v>2192</v>
      </c>
      <c r="D73" s="1"/>
      <c r="E73" s="1">
        <v>19</v>
      </c>
      <c r="F73" s="1">
        <f t="shared" si="13"/>
        <v>19</v>
      </c>
      <c r="G73" s="46">
        <f t="shared" si="14"/>
        <v>2173</v>
      </c>
      <c r="H73" s="1">
        <v>2496</v>
      </c>
      <c r="I73" s="70">
        <f t="shared" si="15"/>
        <v>13.851817763460661</v>
      </c>
      <c r="J73" s="4">
        <f t="shared" si="16"/>
        <v>114.32481751824817</v>
      </c>
      <c r="K73" s="1">
        <v>2506</v>
      </c>
      <c r="L73" s="41">
        <v>2506</v>
      </c>
      <c r="M73" s="1"/>
      <c r="N73" s="5">
        <v>20</v>
      </c>
      <c r="O73" s="5">
        <f t="shared" si="17"/>
        <v>20</v>
      </c>
      <c r="P73" s="1">
        <f t="shared" si="18"/>
        <v>2486</v>
      </c>
      <c r="Q73" s="50">
        <f t="shared" si="12"/>
        <v>3215.2266666666669</v>
      </c>
      <c r="R73" s="1">
        <v>2030</v>
      </c>
      <c r="S73" s="52">
        <f t="shared" si="19"/>
        <v>1185.2266666666669</v>
      </c>
    </row>
    <row r="74" spans="1:20" x14ac:dyDescent="0.35">
      <c r="A74" s="43" t="s">
        <v>17</v>
      </c>
      <c r="B74">
        <v>2390</v>
      </c>
      <c r="C74" s="41">
        <f>2390+912</f>
        <v>3302</v>
      </c>
      <c r="D74" s="1"/>
      <c r="E74" s="1">
        <v>47</v>
      </c>
      <c r="F74" s="1">
        <f t="shared" si="13"/>
        <v>47</v>
      </c>
      <c r="G74" s="46">
        <f t="shared" si="14"/>
        <v>3255</v>
      </c>
      <c r="H74" s="1">
        <v>4340</v>
      </c>
      <c r="I74" s="70">
        <f t="shared" si="15"/>
        <v>0</v>
      </c>
      <c r="J74" s="4">
        <f t="shared" si="16"/>
        <v>71.895820714718354</v>
      </c>
      <c r="K74" s="1">
        <v>2374</v>
      </c>
      <c r="L74" s="41">
        <v>2374</v>
      </c>
      <c r="M74" s="1"/>
      <c r="N74" s="5">
        <v>20</v>
      </c>
      <c r="O74" s="5">
        <f t="shared" si="17"/>
        <v>20</v>
      </c>
      <c r="P74" s="1">
        <f t="shared" si="18"/>
        <v>2354</v>
      </c>
      <c r="Q74" s="50">
        <f t="shared" si="12"/>
        <v>3044.5066666666667</v>
      </c>
      <c r="R74" s="1">
        <v>2153</v>
      </c>
      <c r="S74" s="52">
        <f t="shared" si="19"/>
        <v>891.50666666666666</v>
      </c>
    </row>
    <row r="75" spans="1:20" x14ac:dyDescent="0.35">
      <c r="A75" s="43" t="s">
        <v>18</v>
      </c>
      <c r="B75">
        <v>8892</v>
      </c>
      <c r="C75" s="41">
        <v>8892</v>
      </c>
      <c r="D75" s="1"/>
      <c r="E75" s="1">
        <v>450</v>
      </c>
      <c r="F75" s="9">
        <f t="shared" si="13"/>
        <v>450</v>
      </c>
      <c r="G75" s="46">
        <f t="shared" si="14"/>
        <v>8442</v>
      </c>
      <c r="H75" s="9">
        <v>11176</v>
      </c>
      <c r="I75" s="68">
        <f t="shared" si="15"/>
        <v>0.71073205401563921</v>
      </c>
      <c r="J75" s="4">
        <f t="shared" si="16"/>
        <v>130.04948268106162</v>
      </c>
      <c r="K75" s="1">
        <v>11564</v>
      </c>
      <c r="L75" s="41">
        <v>11564</v>
      </c>
      <c r="M75" s="1"/>
      <c r="N75" s="5">
        <v>456</v>
      </c>
      <c r="O75" s="5">
        <f t="shared" si="17"/>
        <v>456</v>
      </c>
      <c r="P75" s="1">
        <f t="shared" si="18"/>
        <v>11108</v>
      </c>
      <c r="Q75" s="50">
        <f t="shared" si="12"/>
        <v>14366.346666666666</v>
      </c>
      <c r="R75" s="1">
        <v>9954</v>
      </c>
      <c r="S75" s="51">
        <f t="shared" si="19"/>
        <v>4412.3466666666664</v>
      </c>
    </row>
    <row r="76" spans="1:20" s="42" customFormat="1" x14ac:dyDescent="0.35">
      <c r="A76" s="42" t="s">
        <v>19</v>
      </c>
      <c r="B76" s="42">
        <v>6498</v>
      </c>
      <c r="C76" s="63">
        <v>6498</v>
      </c>
      <c r="D76" s="46">
        <v>180</v>
      </c>
      <c r="E76" s="46">
        <v>469</v>
      </c>
      <c r="F76" s="9">
        <f t="shared" si="13"/>
        <v>649</v>
      </c>
      <c r="G76" s="46">
        <f t="shared" si="14"/>
        <v>5849</v>
      </c>
      <c r="H76" s="9">
        <v>7538</v>
      </c>
      <c r="I76" s="68">
        <f t="shared" si="15"/>
        <v>3.3424517011454991</v>
      </c>
      <c r="J76" s="64">
        <f t="shared" si="16"/>
        <v>83.810403200984922</v>
      </c>
      <c r="K76" s="46">
        <v>5446</v>
      </c>
      <c r="L76" s="63">
        <v>5446</v>
      </c>
      <c r="M76" s="46">
        <v>180</v>
      </c>
      <c r="N76" s="47">
        <v>220</v>
      </c>
      <c r="O76" s="47">
        <f t="shared" si="17"/>
        <v>400</v>
      </c>
      <c r="P76" s="46">
        <f t="shared" si="18"/>
        <v>5046</v>
      </c>
      <c r="Q76" s="65">
        <f t="shared" si="12"/>
        <v>6526.16</v>
      </c>
      <c r="R76" s="46">
        <v>6300</v>
      </c>
      <c r="S76" s="66">
        <f t="shared" si="19"/>
        <v>226.15999999999985</v>
      </c>
    </row>
    <row r="77" spans="1:20" x14ac:dyDescent="0.35">
      <c r="A77" s="37" t="s">
        <v>20</v>
      </c>
      <c r="B77">
        <v>9120</v>
      </c>
      <c r="C77" s="41">
        <v>9120</v>
      </c>
      <c r="D77" s="1">
        <v>180</v>
      </c>
      <c r="E77" s="1"/>
      <c r="F77" s="9">
        <f t="shared" si="13"/>
        <v>180</v>
      </c>
      <c r="G77" s="46">
        <f t="shared" si="14"/>
        <v>8940</v>
      </c>
      <c r="H77" s="9">
        <v>11842</v>
      </c>
      <c r="I77" s="68">
        <f t="shared" si="15"/>
        <v>0.65436241610737911</v>
      </c>
      <c r="J77" s="4">
        <f t="shared" si="16"/>
        <v>120</v>
      </c>
      <c r="K77" s="1">
        <v>10944</v>
      </c>
      <c r="L77" s="41">
        <v>10944</v>
      </c>
      <c r="M77" s="1">
        <v>220</v>
      </c>
      <c r="N77" s="5"/>
      <c r="O77" s="5">
        <f t="shared" si="17"/>
        <v>220</v>
      </c>
      <c r="P77" s="1">
        <f t="shared" si="18"/>
        <v>10724</v>
      </c>
      <c r="Q77" s="50">
        <f>P77*0.97/0.75</f>
        <v>13869.706666666665</v>
      </c>
      <c r="R77" s="1">
        <v>9702</v>
      </c>
      <c r="S77" s="51">
        <f t="shared" si="19"/>
        <v>4167.7066666666651</v>
      </c>
      <c r="T77" t="s">
        <v>130</v>
      </c>
    </row>
    <row r="78" spans="1:20" x14ac:dyDescent="0.35">
      <c r="A78" s="43" t="s">
        <v>21</v>
      </c>
      <c r="B78">
        <v>1482</v>
      </c>
      <c r="C78" s="41">
        <v>1482</v>
      </c>
      <c r="D78" s="1"/>
      <c r="E78" s="1">
        <v>14</v>
      </c>
      <c r="F78" s="1">
        <f t="shared" si="13"/>
        <v>14</v>
      </c>
      <c r="G78" s="46">
        <f t="shared" si="14"/>
        <v>1468</v>
      </c>
      <c r="H78" s="1">
        <v>1912</v>
      </c>
      <c r="I78" s="68">
        <f t="shared" si="15"/>
        <v>2.3160762942779245</v>
      </c>
      <c r="J78" s="4">
        <f t="shared" si="16"/>
        <v>108.36707152496625</v>
      </c>
      <c r="K78" s="1">
        <v>1606</v>
      </c>
      <c r="L78" s="41">
        <v>1606</v>
      </c>
      <c r="M78" s="1"/>
      <c r="N78" s="5"/>
      <c r="O78" s="5">
        <f t="shared" si="17"/>
        <v>0</v>
      </c>
      <c r="P78" s="1">
        <f t="shared" si="18"/>
        <v>1606</v>
      </c>
      <c r="Q78" s="50">
        <f t="shared" ref="Q78:Q86" si="20">P78*0.97/0.75</f>
        <v>2077.0933333333332</v>
      </c>
      <c r="R78" s="1">
        <v>1743</v>
      </c>
      <c r="S78" s="51">
        <f t="shared" si="19"/>
        <v>334.09333333333325</v>
      </c>
    </row>
    <row r="79" spans="1:20" x14ac:dyDescent="0.35">
      <c r="A79" s="43" t="s">
        <v>22</v>
      </c>
      <c r="B79">
        <v>456</v>
      </c>
      <c r="C79" s="41">
        <v>456</v>
      </c>
      <c r="D79" s="1"/>
      <c r="E79" s="1">
        <v>4.5</v>
      </c>
      <c r="F79" s="1">
        <f t="shared" si="13"/>
        <v>4.5</v>
      </c>
      <c r="G79" s="46">
        <f t="shared" si="14"/>
        <v>451.5</v>
      </c>
      <c r="H79" s="1">
        <v>602</v>
      </c>
      <c r="I79" s="68">
        <f t="shared" si="15"/>
        <v>0</v>
      </c>
      <c r="J79" s="4">
        <f t="shared" si="16"/>
        <v>150</v>
      </c>
      <c r="K79" s="1">
        <v>684</v>
      </c>
      <c r="L79" s="41">
        <v>684</v>
      </c>
      <c r="M79" s="1"/>
      <c r="N79" s="5"/>
      <c r="O79" s="5">
        <f t="shared" si="17"/>
        <v>0</v>
      </c>
      <c r="P79" s="1">
        <f t="shared" si="18"/>
        <v>684</v>
      </c>
      <c r="Q79" s="50">
        <f t="shared" si="20"/>
        <v>884.64</v>
      </c>
      <c r="R79" s="1">
        <v>306</v>
      </c>
      <c r="S79" s="51">
        <f t="shared" si="19"/>
        <v>578.64</v>
      </c>
    </row>
    <row r="80" spans="1:20" x14ac:dyDescent="0.35">
      <c r="A80" s="43" t="s">
        <v>23</v>
      </c>
      <c r="B80">
        <v>1368</v>
      </c>
      <c r="C80" s="41">
        <v>1368</v>
      </c>
      <c r="D80" s="1"/>
      <c r="E80" s="1">
        <v>2</v>
      </c>
      <c r="F80" s="1">
        <f t="shared" si="13"/>
        <v>2</v>
      </c>
      <c r="G80" s="46">
        <f t="shared" si="14"/>
        <v>1366</v>
      </c>
      <c r="H80" s="1">
        <v>1765</v>
      </c>
      <c r="I80" s="68">
        <f t="shared" si="15"/>
        <v>3.0929721815519673</v>
      </c>
      <c r="J80" s="4">
        <f t="shared" si="16"/>
        <v>126.75438596491229</v>
      </c>
      <c r="K80" s="1">
        <v>1734</v>
      </c>
      <c r="L80" s="41">
        <v>1734</v>
      </c>
      <c r="M80" s="1"/>
      <c r="N80" s="5">
        <v>20</v>
      </c>
      <c r="O80" s="5">
        <f t="shared" si="17"/>
        <v>20</v>
      </c>
      <c r="P80" s="1">
        <f t="shared" si="18"/>
        <v>1714</v>
      </c>
      <c r="Q80" s="50">
        <f t="shared" si="20"/>
        <v>2216.7733333333331</v>
      </c>
      <c r="R80" s="1">
        <v>1602</v>
      </c>
      <c r="S80" s="51">
        <f t="shared" si="19"/>
        <v>614.77333333333308</v>
      </c>
    </row>
    <row r="81" spans="1:19" x14ac:dyDescent="0.35">
      <c r="A81" s="43" t="s">
        <v>24</v>
      </c>
      <c r="B81">
        <v>2060</v>
      </c>
      <c r="C81" s="41">
        <v>2060</v>
      </c>
      <c r="D81" s="1"/>
      <c r="E81" s="1">
        <v>18</v>
      </c>
      <c r="F81" s="1">
        <f t="shared" si="13"/>
        <v>18</v>
      </c>
      <c r="G81" s="46">
        <f t="shared" si="14"/>
        <v>2042</v>
      </c>
      <c r="H81" s="1">
        <v>2418</v>
      </c>
      <c r="I81" s="70">
        <f t="shared" si="15"/>
        <v>11.190009794319289</v>
      </c>
      <c r="J81" s="4">
        <f t="shared" si="16"/>
        <v>90.097087378640765</v>
      </c>
      <c r="K81" s="1">
        <v>2084</v>
      </c>
      <c r="L81" s="41">
        <v>1856</v>
      </c>
      <c r="M81" s="1"/>
      <c r="N81" s="5"/>
      <c r="O81" s="5">
        <f t="shared" si="17"/>
        <v>0</v>
      </c>
      <c r="P81" s="1">
        <f t="shared" si="18"/>
        <v>1856</v>
      </c>
      <c r="Q81" s="50">
        <f t="shared" si="20"/>
        <v>2400.4266666666667</v>
      </c>
      <c r="R81" s="1">
        <v>1771</v>
      </c>
      <c r="S81" s="52">
        <f t="shared" si="19"/>
        <v>629.42666666666673</v>
      </c>
    </row>
    <row r="82" spans="1:19" x14ac:dyDescent="0.35">
      <c r="A82" s="43" t="s">
        <v>25</v>
      </c>
      <c r="B82">
        <f>2440+912</f>
        <v>3352</v>
      </c>
      <c r="C82" s="41">
        <f>2440+912</f>
        <v>3352</v>
      </c>
      <c r="D82" s="1"/>
      <c r="E82" s="1">
        <v>100</v>
      </c>
      <c r="F82" s="9">
        <f t="shared" si="13"/>
        <v>100</v>
      </c>
      <c r="G82" s="46">
        <f t="shared" si="14"/>
        <v>3252</v>
      </c>
      <c r="H82" s="9">
        <v>4200</v>
      </c>
      <c r="I82" s="68">
        <f t="shared" si="15"/>
        <v>3.1365313653136551</v>
      </c>
      <c r="J82" s="4">
        <f t="shared" si="16"/>
        <v>71.658711217183765</v>
      </c>
      <c r="K82" s="1">
        <v>2402</v>
      </c>
      <c r="L82" s="41">
        <v>2402</v>
      </c>
      <c r="M82" s="1"/>
      <c r="N82" s="5">
        <v>10</v>
      </c>
      <c r="O82" s="5">
        <f t="shared" si="17"/>
        <v>10</v>
      </c>
      <c r="P82" s="1">
        <f t="shared" si="18"/>
        <v>2392</v>
      </c>
      <c r="Q82" s="50">
        <f t="shared" si="20"/>
        <v>3093.6533333333332</v>
      </c>
      <c r="R82" s="1">
        <v>2517</v>
      </c>
      <c r="S82" s="51">
        <f t="shared" si="19"/>
        <v>576.65333333333319</v>
      </c>
    </row>
    <row r="83" spans="1:19" x14ac:dyDescent="0.35">
      <c r="A83" s="43" t="s">
        <v>26</v>
      </c>
      <c r="C83" s="41"/>
      <c r="D83" s="1"/>
      <c r="E83" s="1"/>
      <c r="F83" s="1">
        <f t="shared" si="13"/>
        <v>0</v>
      </c>
      <c r="G83" s="46">
        <f t="shared" si="14"/>
        <v>0</v>
      </c>
      <c r="H83" s="1"/>
      <c r="I83" s="68" t="e">
        <f t="shared" si="15"/>
        <v>#DIV/0!</v>
      </c>
      <c r="J83" s="4"/>
      <c r="K83" s="1">
        <v>1142</v>
      </c>
      <c r="L83" s="41">
        <v>1142</v>
      </c>
      <c r="M83" s="1"/>
      <c r="N83" s="5"/>
      <c r="O83" s="5">
        <f t="shared" si="17"/>
        <v>0</v>
      </c>
      <c r="P83" s="1">
        <f t="shared" si="18"/>
        <v>1142</v>
      </c>
      <c r="Q83" s="50">
        <f t="shared" si="20"/>
        <v>1476.9866666666667</v>
      </c>
      <c r="R83" s="1">
        <v>1296</v>
      </c>
      <c r="S83" s="51">
        <f t="shared" si="19"/>
        <v>180.98666666666668</v>
      </c>
    </row>
    <row r="84" spans="1:19" x14ac:dyDescent="0.35">
      <c r="A84" s="43" t="s">
        <v>27</v>
      </c>
      <c r="B84">
        <v>6042</v>
      </c>
      <c r="C84" s="41">
        <v>3762</v>
      </c>
      <c r="D84" s="1"/>
      <c r="E84" s="1">
        <v>13.5</v>
      </c>
      <c r="F84" s="1">
        <f t="shared" si="13"/>
        <v>13.5</v>
      </c>
      <c r="G84" s="46">
        <f t="shared" si="14"/>
        <v>3748.5</v>
      </c>
      <c r="H84" s="1">
        <f>4564+292</f>
        <v>4856</v>
      </c>
      <c r="I84" s="68">
        <f t="shared" si="15"/>
        <v>2.8411364545818274</v>
      </c>
      <c r="J84" s="4">
        <f t="shared" si="16"/>
        <v>142.7432216905901</v>
      </c>
      <c r="K84" s="1">
        <v>5598</v>
      </c>
      <c r="L84" s="41">
        <v>5370</v>
      </c>
      <c r="M84" s="1"/>
      <c r="N84" s="5"/>
      <c r="O84" s="5">
        <f t="shared" si="17"/>
        <v>0</v>
      </c>
      <c r="P84" s="1">
        <f t="shared" si="18"/>
        <v>5370</v>
      </c>
      <c r="Q84" s="50">
        <f t="shared" si="20"/>
        <v>6945.2</v>
      </c>
      <c r="R84" s="1">
        <v>4572</v>
      </c>
      <c r="S84" s="52">
        <f t="shared" si="19"/>
        <v>2373.1999999999998</v>
      </c>
    </row>
    <row r="85" spans="1:19" x14ac:dyDescent="0.35">
      <c r="A85" s="43" t="s">
        <v>28</v>
      </c>
      <c r="B85">
        <v>1368</v>
      </c>
      <c r="C85" s="41">
        <v>684</v>
      </c>
      <c r="D85" s="1"/>
      <c r="E85" s="1"/>
      <c r="F85" s="1">
        <f t="shared" si="13"/>
        <v>0</v>
      </c>
      <c r="G85" s="46">
        <f t="shared" si="14"/>
        <v>684</v>
      </c>
      <c r="H85" s="1">
        <v>882</v>
      </c>
      <c r="I85" s="68">
        <f t="shared" si="15"/>
        <v>3.289473684210531</v>
      </c>
      <c r="J85" s="4">
        <f t="shared" si="16"/>
        <v>223.09941520467837</v>
      </c>
      <c r="K85" s="1">
        <v>1526</v>
      </c>
      <c r="L85" s="41">
        <v>1526</v>
      </c>
      <c r="M85" s="1"/>
      <c r="N85" s="5"/>
      <c r="O85" s="5">
        <f t="shared" si="17"/>
        <v>0</v>
      </c>
      <c r="P85" s="1">
        <f t="shared" si="18"/>
        <v>1526</v>
      </c>
      <c r="Q85" s="50">
        <f t="shared" si="20"/>
        <v>1973.6266666666668</v>
      </c>
      <c r="R85" s="1">
        <v>121</v>
      </c>
      <c r="S85" s="51">
        <f t="shared" si="19"/>
        <v>1852.6266666666668</v>
      </c>
    </row>
    <row r="86" spans="1:19" x14ac:dyDescent="0.35">
      <c r="A86" s="43" t="s">
        <v>29</v>
      </c>
      <c r="B86">
        <v>1824</v>
      </c>
      <c r="C86" s="41">
        <v>1368</v>
      </c>
      <c r="D86" s="1"/>
      <c r="E86" s="1"/>
      <c r="F86" s="1">
        <f t="shared" si="13"/>
        <v>0</v>
      </c>
      <c r="G86" s="46">
        <f t="shared" si="14"/>
        <v>1368</v>
      </c>
      <c r="H86" s="1">
        <v>1765</v>
      </c>
      <c r="I86" s="68">
        <f t="shared" si="15"/>
        <v>3.2346491228070207</v>
      </c>
      <c r="J86" s="4">
        <f t="shared" si="16"/>
        <v>133.33333333333331</v>
      </c>
      <c r="K86" s="1">
        <v>1824</v>
      </c>
      <c r="L86" s="41">
        <v>1824</v>
      </c>
      <c r="M86" s="1"/>
      <c r="N86" s="5">
        <v>40</v>
      </c>
      <c r="O86" s="5">
        <f t="shared" si="17"/>
        <v>40</v>
      </c>
      <c r="P86" s="1">
        <f t="shared" si="18"/>
        <v>1784</v>
      </c>
      <c r="Q86" s="50">
        <f t="shared" si="20"/>
        <v>2307.3066666666668</v>
      </c>
      <c r="R86" s="1">
        <v>1710</v>
      </c>
      <c r="S86" s="51">
        <f t="shared" si="19"/>
        <v>597.30666666666684</v>
      </c>
    </row>
    <row r="87" spans="1:19" x14ac:dyDescent="0.35">
      <c r="C87">
        <f>SUM(C69:C86)</f>
        <v>53722</v>
      </c>
      <c r="I87" s="68"/>
      <c r="N87" t="s">
        <v>123</v>
      </c>
    </row>
    <row r="88" spans="1:19" x14ac:dyDescent="0.35">
      <c r="A88" s="34" t="s">
        <v>143</v>
      </c>
      <c r="B88" t="s">
        <v>104</v>
      </c>
    </row>
    <row r="89" spans="1:19" x14ac:dyDescent="0.35">
      <c r="A89" s="34" t="s">
        <v>141</v>
      </c>
      <c r="B89" t="s">
        <v>142</v>
      </c>
    </row>
    <row r="91" spans="1:19" x14ac:dyDescent="0.35">
      <c r="P91" s="49" t="s">
        <v>117</v>
      </c>
    </row>
    <row r="92" spans="1:19" x14ac:dyDescent="0.35">
      <c r="H92" t="s">
        <v>115</v>
      </c>
      <c r="J92" t="s">
        <v>111</v>
      </c>
      <c r="O92" t="s">
        <v>114</v>
      </c>
      <c r="P92" s="49" t="s">
        <v>116</v>
      </c>
      <c r="Q92" t="s">
        <v>125</v>
      </c>
    </row>
    <row r="93" spans="1:19" x14ac:dyDescent="0.35">
      <c r="A93" s="46" t="s">
        <v>112</v>
      </c>
      <c r="B93" s="46"/>
      <c r="C93" s="46">
        <f>C76+C69</f>
        <v>8088</v>
      </c>
      <c r="D93" s="46">
        <f t="shared" ref="D93:F93" si="21">D76+D69</f>
        <v>180</v>
      </c>
      <c r="E93" s="46">
        <f t="shared" si="21"/>
        <v>469</v>
      </c>
      <c r="F93" s="46">
        <f t="shared" si="21"/>
        <v>649</v>
      </c>
      <c r="G93" s="46"/>
      <c r="H93" s="46">
        <f>F93/C93</f>
        <v>8.0242334322453021E-2</v>
      </c>
      <c r="I93" s="46"/>
      <c r="J93" s="47">
        <f>L93/C93*100</f>
        <v>86.053412462908014</v>
      </c>
      <c r="K93" s="46"/>
      <c r="L93" s="46">
        <f t="shared" ref="L93:O93" si="22">L76+L69</f>
        <v>6960</v>
      </c>
      <c r="M93" s="46">
        <f t="shared" si="22"/>
        <v>180</v>
      </c>
      <c r="N93" s="46">
        <f t="shared" si="22"/>
        <v>220</v>
      </c>
      <c r="O93" s="46">
        <f t="shared" si="22"/>
        <v>400</v>
      </c>
      <c r="P93" s="48">
        <v>400</v>
      </c>
      <c r="Q93" s="53">
        <f>P93/L93</f>
        <v>5.7471264367816091E-2</v>
      </c>
      <c r="R93" t="s">
        <v>127</v>
      </c>
    </row>
    <row r="94" spans="1:19" x14ac:dyDescent="0.35">
      <c r="A94" s="44" t="s">
        <v>113</v>
      </c>
      <c r="B94" s="44"/>
      <c r="C94" s="44">
        <f>C86+C85+C84+C83+C82+C81+C80+C79+C78+C75+C74+C73+C72+C71+C70</f>
        <v>36514</v>
      </c>
      <c r="D94" s="44">
        <f t="shared" ref="D94:F94" si="23">D86+D85+D84+D83+D82+D81+D80+D79+D78+D75+D74+D73+D72+D71+D70</f>
        <v>610</v>
      </c>
      <c r="E94" s="44">
        <f t="shared" si="23"/>
        <v>927.25</v>
      </c>
      <c r="F94" s="44">
        <f t="shared" si="23"/>
        <v>1537.25</v>
      </c>
      <c r="G94" s="44"/>
      <c r="H94" s="46">
        <f t="shared" ref="H94:H95" si="24">F94/C94</f>
        <v>4.2100290299611105E-2</v>
      </c>
      <c r="I94" s="46"/>
      <c r="J94" s="45">
        <f t="shared" ref="J94:J96" si="25">L94/C94*100</f>
        <v>115.92539847729637</v>
      </c>
      <c r="K94" s="44"/>
      <c r="L94" s="44">
        <f t="shared" ref="L94:O94" si="26">L86+L85+L84+L83+L82+L81+L80+L79+L78+L75+L74+L73+L72+L71+L70</f>
        <v>42329</v>
      </c>
      <c r="M94" s="44">
        <f t="shared" si="26"/>
        <v>456</v>
      </c>
      <c r="N94" s="44">
        <f t="shared" si="26"/>
        <v>1250</v>
      </c>
      <c r="O94" s="44">
        <f t="shared" si="26"/>
        <v>1706</v>
      </c>
      <c r="P94" s="48">
        <v>1700</v>
      </c>
      <c r="Q94" s="53">
        <f t="shared" ref="Q94:Q95" si="27">P94/L94</f>
        <v>4.0161591343995842E-2</v>
      </c>
      <c r="R94" t="s">
        <v>126</v>
      </c>
    </row>
    <row r="95" spans="1:19" x14ac:dyDescent="0.35">
      <c r="A95" s="38" t="s">
        <v>45</v>
      </c>
      <c r="B95" s="38"/>
      <c r="C95" s="38">
        <f>C77</f>
        <v>9120</v>
      </c>
      <c r="D95" s="38">
        <f t="shared" ref="D95:F95" si="28">D77</f>
        <v>180</v>
      </c>
      <c r="E95" s="38">
        <f t="shared" si="28"/>
        <v>0</v>
      </c>
      <c r="F95" s="38">
        <f t="shared" si="28"/>
        <v>180</v>
      </c>
      <c r="G95" s="38"/>
      <c r="H95" s="46">
        <f t="shared" si="24"/>
        <v>1.9736842105263157E-2</v>
      </c>
      <c r="I95" s="46"/>
      <c r="J95" s="39">
        <f t="shared" si="25"/>
        <v>120</v>
      </c>
      <c r="K95" s="38"/>
      <c r="L95" s="38">
        <f t="shared" ref="L95:O95" si="29">L77</f>
        <v>10944</v>
      </c>
      <c r="M95" s="38">
        <f t="shared" si="29"/>
        <v>220</v>
      </c>
      <c r="N95" s="38">
        <f t="shared" si="29"/>
        <v>0</v>
      </c>
      <c r="O95" s="38">
        <f t="shared" si="29"/>
        <v>220</v>
      </c>
      <c r="P95" s="48">
        <v>220</v>
      </c>
      <c r="Q95" s="53">
        <f t="shared" si="27"/>
        <v>2.0102339181286549E-2</v>
      </c>
      <c r="R95" t="s">
        <v>128</v>
      </c>
    </row>
    <row r="96" spans="1:19" x14ac:dyDescent="0.35">
      <c r="C96">
        <f>SUM(C93:C95)</f>
        <v>53722</v>
      </c>
      <c r="D96">
        <f t="shared" ref="D96:F96" si="30">SUM(D93:D95)</f>
        <v>970</v>
      </c>
      <c r="E96">
        <f t="shared" si="30"/>
        <v>1396.25</v>
      </c>
      <c r="F96">
        <f t="shared" si="30"/>
        <v>2366.25</v>
      </c>
      <c r="H96">
        <f>SUM(H93:H95)</f>
        <v>0.1420794667273273</v>
      </c>
      <c r="J96" s="5">
        <f t="shared" si="25"/>
        <v>112.11980194333793</v>
      </c>
      <c r="L96" s="4">
        <f>SUM(L93:L95)</f>
        <v>60233</v>
      </c>
    </row>
    <row r="99" spans="1:17" x14ac:dyDescent="0.35">
      <c r="C99" s="4"/>
      <c r="J99" s="14" t="s">
        <v>134</v>
      </c>
      <c r="L99"/>
      <c r="O99" t="s">
        <v>136</v>
      </c>
    </row>
    <row r="100" spans="1:17" x14ac:dyDescent="0.35">
      <c r="C100" s="4"/>
      <c r="G100" s="26" t="s">
        <v>119</v>
      </c>
      <c r="I100" s="26"/>
      <c r="J100" t="s">
        <v>124</v>
      </c>
      <c r="L100"/>
      <c r="O100" t="s">
        <v>137</v>
      </c>
    </row>
    <row r="101" spans="1:17" x14ac:dyDescent="0.35">
      <c r="A101" t="s">
        <v>129</v>
      </c>
      <c r="B101" t="s">
        <v>103</v>
      </c>
      <c r="C101" t="s">
        <v>105</v>
      </c>
      <c r="D101" s="72" t="s">
        <v>109</v>
      </c>
      <c r="E101" t="s">
        <v>107</v>
      </c>
      <c r="F101" s="21" t="s">
        <v>110</v>
      </c>
      <c r="G101" s="54" t="s">
        <v>118</v>
      </c>
      <c r="H101" s="21" t="s">
        <v>133</v>
      </c>
      <c r="I101" s="54"/>
      <c r="J101" s="26" t="s">
        <v>120</v>
      </c>
      <c r="K101" s="26" t="s">
        <v>131</v>
      </c>
      <c r="L101" s="26" t="s">
        <v>121</v>
      </c>
      <c r="N101" t="s">
        <v>129</v>
      </c>
      <c r="O101" t="s">
        <v>139</v>
      </c>
    </row>
    <row r="102" spans="1:17" x14ac:dyDescent="0.35">
      <c r="A102" s="42" t="s">
        <v>12</v>
      </c>
      <c r="B102" s="1">
        <v>1514</v>
      </c>
      <c r="C102" s="41">
        <v>1514</v>
      </c>
      <c r="D102" s="1"/>
      <c r="E102" s="5"/>
      <c r="F102" s="5">
        <f>D102+E102</f>
        <v>0</v>
      </c>
      <c r="G102" s="1">
        <f>C102-F102</f>
        <v>1514</v>
      </c>
      <c r="H102" s="1"/>
      <c r="I102" s="1"/>
      <c r="J102" s="50">
        <f>G102*0.97/0.75</f>
        <v>1958.1066666666666</v>
      </c>
      <c r="K102" s="1"/>
      <c r="L102" s="51">
        <f>J102-K102</f>
        <v>1958.1066666666666</v>
      </c>
      <c r="N102" s="42" t="s">
        <v>12</v>
      </c>
      <c r="O102" s="5">
        <v>1958.1066666666666</v>
      </c>
      <c r="P102" s="5">
        <v>1950</v>
      </c>
    </row>
    <row r="103" spans="1:17" x14ac:dyDescent="0.35">
      <c r="A103" s="43" t="s">
        <v>13</v>
      </c>
      <c r="B103" s="1">
        <v>1540</v>
      </c>
      <c r="C103" s="41">
        <v>1540</v>
      </c>
      <c r="D103" s="1"/>
      <c r="E103" s="5"/>
      <c r="F103" s="5">
        <f t="shared" ref="F103:F119" si="31">D103+E103</f>
        <v>0</v>
      </c>
      <c r="G103" s="1">
        <f>C103-F103</f>
        <v>1540</v>
      </c>
      <c r="H103" s="1"/>
      <c r="I103" s="1"/>
      <c r="J103" s="50">
        <f>G103*0.97/0.75</f>
        <v>1991.7333333333333</v>
      </c>
      <c r="K103" s="1"/>
      <c r="L103" s="51">
        <f t="shared" ref="L103:L119" si="32">J103-K103</f>
        <v>1991.7333333333333</v>
      </c>
      <c r="N103" s="43" t="s">
        <v>13</v>
      </c>
      <c r="O103" s="5">
        <v>1991.7333333333333</v>
      </c>
      <c r="P103" s="5">
        <v>1995</v>
      </c>
    </row>
    <row r="104" spans="1:17" x14ac:dyDescent="0.35">
      <c r="A104" s="43" t="s">
        <v>14</v>
      </c>
      <c r="B104" s="1">
        <v>4261</v>
      </c>
      <c r="C104" s="41">
        <v>4261</v>
      </c>
      <c r="D104" s="73">
        <v>456</v>
      </c>
      <c r="E104" s="5">
        <v>684</v>
      </c>
      <c r="F104" s="5">
        <f t="shared" si="31"/>
        <v>1140</v>
      </c>
      <c r="G104" s="1">
        <f>C104-F104</f>
        <v>3121</v>
      </c>
      <c r="H104" s="1"/>
      <c r="I104" s="1"/>
      <c r="J104" s="50">
        <f>G104*0.97/0.75</f>
        <v>4036.4933333333333</v>
      </c>
      <c r="K104" s="1"/>
      <c r="L104" s="51">
        <f t="shared" si="32"/>
        <v>4036.4933333333333</v>
      </c>
      <c r="N104" s="43" t="s">
        <v>14</v>
      </c>
      <c r="O104" s="5">
        <v>4036.4933333333333</v>
      </c>
      <c r="P104" s="5">
        <v>4036.4933333333333</v>
      </c>
    </row>
    <row r="105" spans="1:17" x14ac:dyDescent="0.35">
      <c r="A105" s="43" t="s">
        <v>15</v>
      </c>
      <c r="B105" s="1">
        <v>1940</v>
      </c>
      <c r="C105" s="41">
        <v>1940</v>
      </c>
      <c r="D105" s="1"/>
      <c r="E105" s="5"/>
      <c r="F105" s="5">
        <f t="shared" si="31"/>
        <v>0</v>
      </c>
      <c r="G105" s="1">
        <f>C105-F105</f>
        <v>1940</v>
      </c>
      <c r="H105" s="1"/>
      <c r="I105" s="1"/>
      <c r="J105" s="50">
        <f>G105*0.97/0.75</f>
        <v>2509.0666666666666</v>
      </c>
      <c r="K105" s="1"/>
      <c r="L105" s="51">
        <f t="shared" si="32"/>
        <v>2509.0666666666666</v>
      </c>
      <c r="N105" s="43" t="s">
        <v>15</v>
      </c>
      <c r="O105" s="5">
        <v>2509.0666666666666</v>
      </c>
      <c r="P105" s="5">
        <v>2509.0666666666666</v>
      </c>
    </row>
    <row r="106" spans="1:17" x14ac:dyDescent="0.35">
      <c r="A106" s="43" t="s">
        <v>16</v>
      </c>
      <c r="B106" s="1">
        <v>2506</v>
      </c>
      <c r="C106" s="41">
        <v>2506</v>
      </c>
      <c r="D106" s="1"/>
      <c r="E106" s="5">
        <v>20</v>
      </c>
      <c r="F106" s="5">
        <f t="shared" si="31"/>
        <v>20</v>
      </c>
      <c r="G106" s="1">
        <f>C106-F106</f>
        <v>2486</v>
      </c>
      <c r="H106" s="1"/>
      <c r="I106" s="1"/>
      <c r="J106" s="71">
        <f>G106*0.88/0.75</f>
        <v>2916.9066666666663</v>
      </c>
      <c r="K106" s="1"/>
      <c r="L106" s="52">
        <f t="shared" si="32"/>
        <v>2916.9066666666663</v>
      </c>
      <c r="N106" s="43" t="s">
        <v>16</v>
      </c>
      <c r="O106" s="5">
        <v>2916.9066666666663</v>
      </c>
      <c r="P106" s="5">
        <v>2916.9066666666663</v>
      </c>
    </row>
    <row r="107" spans="1:17" x14ac:dyDescent="0.35">
      <c r="A107" s="43" t="s">
        <v>17</v>
      </c>
      <c r="B107" s="1">
        <v>2374</v>
      </c>
      <c r="C107" s="41">
        <v>2374</v>
      </c>
      <c r="D107" s="1"/>
      <c r="E107" s="5">
        <v>20</v>
      </c>
      <c r="F107" s="5">
        <f t="shared" si="31"/>
        <v>20</v>
      </c>
      <c r="G107" s="1">
        <f>C107-F107</f>
        <v>2354</v>
      </c>
      <c r="H107" s="1"/>
      <c r="I107" s="1"/>
      <c r="J107" s="71">
        <f>G107*0.88/0.75</f>
        <v>2762.0266666666666</v>
      </c>
      <c r="K107" s="1"/>
      <c r="L107" s="52">
        <f t="shared" si="32"/>
        <v>2762.0266666666666</v>
      </c>
      <c r="N107" s="43" t="s">
        <v>17</v>
      </c>
      <c r="O107" s="5">
        <v>2762.0266666666666</v>
      </c>
      <c r="P107" s="5">
        <v>2762.0266666666666</v>
      </c>
    </row>
    <row r="108" spans="1:17" x14ac:dyDescent="0.35">
      <c r="A108" s="43" t="s">
        <v>18</v>
      </c>
      <c r="B108" s="1">
        <v>11564</v>
      </c>
      <c r="C108" s="41">
        <v>11564</v>
      </c>
      <c r="D108" s="1"/>
      <c r="E108" s="5">
        <v>456</v>
      </c>
      <c r="F108" s="5">
        <f t="shared" si="31"/>
        <v>456</v>
      </c>
      <c r="G108" s="1">
        <f>C108-F108</f>
        <v>11108</v>
      </c>
      <c r="H108" s="1"/>
      <c r="I108" s="1"/>
      <c r="J108" s="50">
        <f>G108*0.97/0.75</f>
        <v>14366.346666666666</v>
      </c>
      <c r="K108" s="1"/>
      <c r="L108" s="51">
        <f t="shared" si="32"/>
        <v>14366.346666666666</v>
      </c>
      <c r="N108" s="43" t="s">
        <v>18</v>
      </c>
      <c r="O108" s="5">
        <v>14366.346666666666</v>
      </c>
      <c r="P108" s="5">
        <v>14366.346666666666</v>
      </c>
    </row>
    <row r="109" spans="1:17" x14ac:dyDescent="0.35">
      <c r="A109" s="42" t="s">
        <v>19</v>
      </c>
      <c r="B109" s="1">
        <v>5446</v>
      </c>
      <c r="C109" s="41">
        <v>5446</v>
      </c>
      <c r="D109" s="73">
        <v>180</v>
      </c>
      <c r="E109" s="5">
        <v>220</v>
      </c>
      <c r="F109" s="5">
        <f t="shared" si="31"/>
        <v>400</v>
      </c>
      <c r="G109" s="1">
        <f>C109-F109</f>
        <v>5046</v>
      </c>
      <c r="H109" s="1"/>
      <c r="I109" s="1"/>
      <c r="J109" s="50">
        <f>G109*0.97/0.75</f>
        <v>6526.16</v>
      </c>
      <c r="K109" s="1"/>
      <c r="L109" s="51">
        <f t="shared" si="32"/>
        <v>6526.16</v>
      </c>
      <c r="N109" s="42" t="s">
        <v>19</v>
      </c>
      <c r="O109" s="5">
        <v>6526.16</v>
      </c>
      <c r="P109" s="5">
        <v>6526.16</v>
      </c>
    </row>
    <row r="110" spans="1:17" x14ac:dyDescent="0.35">
      <c r="A110" s="37" t="s">
        <v>20</v>
      </c>
      <c r="B110" s="1">
        <v>10944</v>
      </c>
      <c r="C110" s="41">
        <v>10944</v>
      </c>
      <c r="D110" s="73">
        <v>220</v>
      </c>
      <c r="E110" s="5"/>
      <c r="F110" s="5">
        <f t="shared" si="31"/>
        <v>220</v>
      </c>
      <c r="G110" s="1">
        <f>C110-F110</f>
        <v>10724</v>
      </c>
      <c r="H110" s="1"/>
      <c r="I110" s="1"/>
      <c r="J110" s="50">
        <f>G110*0.97/0.75</f>
        <v>13869.706666666665</v>
      </c>
      <c r="K110" s="1"/>
      <c r="L110" s="51">
        <f t="shared" si="32"/>
        <v>13869.706666666665</v>
      </c>
      <c r="N110" s="37" t="s">
        <v>20</v>
      </c>
      <c r="O110" s="5">
        <v>13869.706666666665</v>
      </c>
      <c r="P110" s="5">
        <v>13869.706666666665</v>
      </c>
      <c r="Q110" t="s">
        <v>140</v>
      </c>
    </row>
    <row r="111" spans="1:17" x14ac:dyDescent="0.35">
      <c r="A111" s="43" t="s">
        <v>21</v>
      </c>
      <c r="B111" s="1">
        <v>1606</v>
      </c>
      <c r="C111" s="41">
        <v>1606</v>
      </c>
      <c r="D111" s="1"/>
      <c r="E111" s="5"/>
      <c r="F111" s="5">
        <f t="shared" si="31"/>
        <v>0</v>
      </c>
      <c r="G111" s="1">
        <f>C111-F111</f>
        <v>1606</v>
      </c>
      <c r="H111" s="1"/>
      <c r="I111" s="1"/>
      <c r="J111" s="50">
        <f>G111*0.97/0.75</f>
        <v>2077.0933333333332</v>
      </c>
      <c r="K111" s="1"/>
      <c r="L111" s="51">
        <f t="shared" si="32"/>
        <v>2077.0933333333332</v>
      </c>
      <c r="N111" s="43" t="s">
        <v>21</v>
      </c>
      <c r="O111" s="5">
        <v>2077.0933333333332</v>
      </c>
      <c r="P111" s="5">
        <v>2077.0933333333332</v>
      </c>
    </row>
    <row r="112" spans="1:17" x14ac:dyDescent="0.35">
      <c r="A112" s="43" t="s">
        <v>22</v>
      </c>
      <c r="B112" s="1">
        <v>684</v>
      </c>
      <c r="C112" s="41">
        <v>684</v>
      </c>
      <c r="D112" s="1"/>
      <c r="E112" s="5"/>
      <c r="F112" s="5">
        <f t="shared" si="31"/>
        <v>0</v>
      </c>
      <c r="G112" s="1">
        <f>C112-F112</f>
        <v>684</v>
      </c>
      <c r="H112" s="1"/>
      <c r="I112" s="1"/>
      <c r="J112" s="50">
        <f>G112*0.97/0.75</f>
        <v>884.64</v>
      </c>
      <c r="K112" s="1"/>
      <c r="L112" s="51">
        <f t="shared" si="32"/>
        <v>884.64</v>
      </c>
      <c r="N112" s="43" t="s">
        <v>22</v>
      </c>
      <c r="O112" s="5">
        <v>884.64</v>
      </c>
      <c r="P112" s="5">
        <v>884.64</v>
      </c>
    </row>
    <row r="113" spans="1:16" x14ac:dyDescent="0.35">
      <c r="A113" s="43" t="s">
        <v>23</v>
      </c>
      <c r="B113" s="1">
        <v>1734</v>
      </c>
      <c r="C113" s="41">
        <v>1734</v>
      </c>
      <c r="D113" s="1"/>
      <c r="E113" s="5">
        <v>20</v>
      </c>
      <c r="F113" s="5">
        <f t="shared" si="31"/>
        <v>20</v>
      </c>
      <c r="G113" s="1">
        <f>C113-F113</f>
        <v>1714</v>
      </c>
      <c r="H113" s="1"/>
      <c r="I113" s="1"/>
      <c r="J113" s="50">
        <f>G113*0.97/0.75</f>
        <v>2216.7733333333331</v>
      </c>
      <c r="K113" s="1"/>
      <c r="L113" s="51">
        <f t="shared" si="32"/>
        <v>2216.7733333333331</v>
      </c>
      <c r="N113" s="43" t="s">
        <v>23</v>
      </c>
      <c r="O113" s="5">
        <v>2216.7733333333331</v>
      </c>
      <c r="P113" s="5">
        <v>2216.7733333333331</v>
      </c>
    </row>
    <row r="114" spans="1:16" x14ac:dyDescent="0.35">
      <c r="A114" s="43" t="s">
        <v>24</v>
      </c>
      <c r="B114" s="1">
        <v>2084</v>
      </c>
      <c r="C114" s="41">
        <v>1856</v>
      </c>
      <c r="D114" s="1"/>
      <c r="E114" s="5"/>
      <c r="F114" s="5">
        <f t="shared" si="31"/>
        <v>0</v>
      </c>
      <c r="G114" s="1">
        <f>C114-F114</f>
        <v>1856</v>
      </c>
      <c r="H114" s="1"/>
      <c r="I114" s="1"/>
      <c r="J114" s="71">
        <f>G114*0.88/0.75</f>
        <v>2177.7066666666665</v>
      </c>
      <c r="K114" s="1"/>
      <c r="L114" s="52">
        <f t="shared" si="32"/>
        <v>2177.7066666666665</v>
      </c>
      <c r="N114" s="43" t="s">
        <v>24</v>
      </c>
      <c r="O114" s="5">
        <v>2177.7066666666665</v>
      </c>
      <c r="P114" s="5">
        <v>2177.7066666666665</v>
      </c>
    </row>
    <row r="115" spans="1:16" x14ac:dyDescent="0.35">
      <c r="A115" s="43" t="s">
        <v>25</v>
      </c>
      <c r="B115" s="1">
        <v>2402</v>
      </c>
      <c r="C115" s="41">
        <v>2402</v>
      </c>
      <c r="D115" s="1"/>
      <c r="E115" s="5">
        <v>10</v>
      </c>
      <c r="F115" s="5">
        <f t="shared" si="31"/>
        <v>10</v>
      </c>
      <c r="G115" s="1">
        <f>C115-F115</f>
        <v>2392</v>
      </c>
      <c r="H115" s="1"/>
      <c r="I115" s="1"/>
      <c r="J115" s="50">
        <f>G115*0.97/0.75</f>
        <v>3093.6533333333332</v>
      </c>
      <c r="K115" s="1"/>
      <c r="L115" s="51">
        <f t="shared" si="32"/>
        <v>3093.6533333333332</v>
      </c>
      <c r="N115" s="43" t="s">
        <v>25</v>
      </c>
      <c r="O115" s="5">
        <v>3093.6533333333332</v>
      </c>
      <c r="P115" s="5">
        <v>3093.6533333333332</v>
      </c>
    </row>
    <row r="116" spans="1:16" x14ac:dyDescent="0.35">
      <c r="A116" s="43" t="s">
        <v>26</v>
      </c>
      <c r="B116" s="1">
        <v>1142</v>
      </c>
      <c r="C116" s="41">
        <v>1142</v>
      </c>
      <c r="D116" s="1"/>
      <c r="E116" s="5"/>
      <c r="F116" s="5">
        <f t="shared" si="31"/>
        <v>0</v>
      </c>
      <c r="G116" s="1">
        <f>C116-F116</f>
        <v>1142</v>
      </c>
      <c r="H116" s="1"/>
      <c r="I116" s="1"/>
      <c r="J116" s="50">
        <f>G116*0.97/0.75</f>
        <v>1476.9866666666667</v>
      </c>
      <c r="K116" s="1"/>
      <c r="L116" s="51">
        <f t="shared" si="32"/>
        <v>1476.9866666666667</v>
      </c>
      <c r="N116" s="43" t="s">
        <v>26</v>
      </c>
      <c r="O116" s="5">
        <v>1476.9866666666667</v>
      </c>
      <c r="P116" s="5">
        <v>1476.9866666666667</v>
      </c>
    </row>
    <row r="117" spans="1:16" x14ac:dyDescent="0.35">
      <c r="A117" s="43" t="s">
        <v>27</v>
      </c>
      <c r="B117" s="1">
        <v>5598</v>
      </c>
      <c r="C117" s="41">
        <v>5370</v>
      </c>
      <c r="D117" s="1"/>
      <c r="E117" s="5"/>
      <c r="F117" s="5">
        <f t="shared" si="31"/>
        <v>0</v>
      </c>
      <c r="G117" s="1">
        <f>C117-F117</f>
        <v>5370</v>
      </c>
      <c r="H117" s="1"/>
      <c r="I117" s="1"/>
      <c r="J117" s="50">
        <f>G117*0.97/0.75</f>
        <v>6945.2</v>
      </c>
      <c r="K117" s="1"/>
      <c r="L117" s="52">
        <f t="shared" si="32"/>
        <v>6945.2</v>
      </c>
      <c r="N117" s="43" t="s">
        <v>27</v>
      </c>
      <c r="O117" s="5">
        <v>6945.2</v>
      </c>
      <c r="P117" s="5">
        <v>6945.2</v>
      </c>
    </row>
    <row r="118" spans="1:16" x14ac:dyDescent="0.35">
      <c r="A118" s="43" t="s">
        <v>28</v>
      </c>
      <c r="B118" s="1">
        <v>1526</v>
      </c>
      <c r="C118" s="41">
        <v>1526</v>
      </c>
      <c r="D118" s="1"/>
      <c r="E118" s="5"/>
      <c r="F118" s="5">
        <f t="shared" si="31"/>
        <v>0</v>
      </c>
      <c r="G118" s="1">
        <f>C118-F118</f>
        <v>1526</v>
      </c>
      <c r="H118" s="1"/>
      <c r="I118" s="1"/>
      <c r="J118" s="50">
        <f>G118*0.97/0.75</f>
        <v>1973.6266666666668</v>
      </c>
      <c r="K118" s="1"/>
      <c r="L118" s="51">
        <f t="shared" si="32"/>
        <v>1973.6266666666668</v>
      </c>
      <c r="N118" s="43" t="s">
        <v>28</v>
      </c>
      <c r="O118" s="5">
        <v>1973.6266666666668</v>
      </c>
      <c r="P118" s="5">
        <v>1973.6266666666668</v>
      </c>
    </row>
    <row r="119" spans="1:16" x14ac:dyDescent="0.35">
      <c r="A119" s="43" t="s">
        <v>29</v>
      </c>
      <c r="B119" s="1">
        <v>1824</v>
      </c>
      <c r="C119" s="41">
        <v>1824</v>
      </c>
      <c r="D119" s="1"/>
      <c r="E119" s="5">
        <v>40</v>
      </c>
      <c r="F119" s="5">
        <f t="shared" si="31"/>
        <v>40</v>
      </c>
      <c r="G119" s="1">
        <f>C119-F119</f>
        <v>1784</v>
      </c>
      <c r="H119" s="1"/>
      <c r="I119" s="1"/>
      <c r="J119" s="50">
        <f>G119*0.97/0.75</f>
        <v>2307.3066666666668</v>
      </c>
      <c r="K119" s="1"/>
      <c r="L119" s="51">
        <f t="shared" si="32"/>
        <v>2307.3066666666668</v>
      </c>
      <c r="N119" s="43" t="s">
        <v>29</v>
      </c>
      <c r="O119" s="5">
        <v>2307.3066666666668</v>
      </c>
      <c r="P119" s="5">
        <v>2307.3066666666668</v>
      </c>
    </row>
    <row r="120" spans="1:16" x14ac:dyDescent="0.35">
      <c r="C120" s="4"/>
      <c r="E120" t="s">
        <v>123</v>
      </c>
      <c r="L120"/>
    </row>
    <row r="123" spans="1:16" x14ac:dyDescent="0.35">
      <c r="C123" s="4"/>
      <c r="H123" s="49" t="s">
        <v>117</v>
      </c>
      <c r="I123" s="49"/>
      <c r="L123"/>
    </row>
    <row r="124" spans="1:16" x14ac:dyDescent="0.35">
      <c r="C124" s="4"/>
      <c r="F124" t="s">
        <v>114</v>
      </c>
      <c r="H124" s="49" t="s">
        <v>116</v>
      </c>
      <c r="I124" s="49"/>
      <c r="J124" t="s">
        <v>125</v>
      </c>
      <c r="L124"/>
    </row>
    <row r="125" spans="1:16" x14ac:dyDescent="0.35">
      <c r="A125" s="46" t="s">
        <v>112</v>
      </c>
      <c r="C125" s="46">
        <v>6960</v>
      </c>
      <c r="D125" s="46">
        <v>180</v>
      </c>
      <c r="E125" s="46">
        <v>220</v>
      </c>
      <c r="F125" s="46">
        <v>400</v>
      </c>
      <c r="G125" s="46"/>
      <c r="H125" s="48">
        <v>400</v>
      </c>
      <c r="I125" s="69"/>
      <c r="J125" s="53">
        <f>H125/C125</f>
        <v>5.7471264367816091E-2</v>
      </c>
      <c r="K125" t="s">
        <v>127</v>
      </c>
      <c r="L125"/>
    </row>
    <row r="126" spans="1:16" x14ac:dyDescent="0.35">
      <c r="A126" s="44" t="s">
        <v>113</v>
      </c>
      <c r="C126" s="44">
        <v>42557</v>
      </c>
      <c r="D126" s="44">
        <v>456</v>
      </c>
      <c r="E126" s="44">
        <v>1250</v>
      </c>
      <c r="F126" s="44">
        <v>1706</v>
      </c>
      <c r="G126" s="44"/>
      <c r="H126" s="48">
        <v>1700</v>
      </c>
      <c r="I126" s="69"/>
      <c r="J126" s="53">
        <v>3.9946424794980846E-2</v>
      </c>
      <c r="K126" t="s">
        <v>126</v>
      </c>
      <c r="L126"/>
    </row>
    <row r="127" spans="1:16" x14ac:dyDescent="0.35">
      <c r="A127" s="38" t="s">
        <v>45</v>
      </c>
      <c r="C127" s="38">
        <v>10944</v>
      </c>
      <c r="D127" s="38">
        <v>220</v>
      </c>
      <c r="E127" s="38">
        <v>0</v>
      </c>
      <c r="F127" s="38">
        <v>220</v>
      </c>
      <c r="G127" s="38"/>
      <c r="H127" s="48">
        <v>220</v>
      </c>
      <c r="I127" s="69"/>
      <c r="J127" s="53">
        <v>2.0102339181286549E-2</v>
      </c>
      <c r="K127" t="s">
        <v>128</v>
      </c>
      <c r="L127"/>
    </row>
    <row r="128" spans="1:16" x14ac:dyDescent="0.35">
      <c r="C128" s="4">
        <v>60461</v>
      </c>
      <c r="L128"/>
    </row>
  </sheetData>
  <mergeCells count="3">
    <mergeCell ref="C7:C8"/>
    <mergeCell ref="E7:E8"/>
    <mergeCell ref="P49:P50"/>
  </mergeCells>
  <pageMargins left="0.25" right="0.25" top="0.75" bottom="0.75" header="0.3" footer="0.3"/>
  <pageSetup paperSize="9" scale="2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1E0C-B8F8-4BD1-BAA7-4661EFE32331}">
  <dimension ref="B3:L36"/>
  <sheetViews>
    <sheetView workbookViewId="0">
      <selection activeCell="I8" sqref="I8"/>
    </sheetView>
  </sheetViews>
  <sheetFormatPr baseColWidth="10" defaultRowHeight="14.5" x14ac:dyDescent="0.35"/>
  <cols>
    <col min="2" max="2" width="37.81640625" customWidth="1"/>
    <col min="3" max="3" width="10.26953125" bestFit="1" customWidth="1"/>
    <col min="8" max="8" width="14.7265625" bestFit="1" customWidth="1"/>
    <col min="10" max="10" width="15.7265625" bestFit="1" customWidth="1"/>
  </cols>
  <sheetData>
    <row r="3" spans="2:12" x14ac:dyDescent="0.35">
      <c r="H3" t="s">
        <v>77</v>
      </c>
    </row>
    <row r="4" spans="2:12" x14ac:dyDescent="0.35">
      <c r="E4" s="4"/>
      <c r="H4" t="s">
        <v>78</v>
      </c>
      <c r="K4" t="s">
        <v>63</v>
      </c>
    </row>
    <row r="5" spans="2:12" x14ac:dyDescent="0.35">
      <c r="B5">
        <v>2023</v>
      </c>
      <c r="C5" t="s">
        <v>52</v>
      </c>
      <c r="D5" t="s">
        <v>0</v>
      </c>
      <c r="E5" s="4" t="s">
        <v>60</v>
      </c>
      <c r="F5" t="s">
        <v>30</v>
      </c>
      <c r="H5" t="s">
        <v>34</v>
      </c>
      <c r="I5" t="s">
        <v>66</v>
      </c>
      <c r="J5" t="s">
        <v>79</v>
      </c>
      <c r="K5" t="s">
        <v>64</v>
      </c>
      <c r="L5" t="s">
        <v>65</v>
      </c>
    </row>
    <row r="6" spans="2:12" x14ac:dyDescent="0.35">
      <c r="B6" s="1" t="s">
        <v>3</v>
      </c>
      <c r="C6" s="1"/>
      <c r="D6" s="1">
        <v>2052</v>
      </c>
      <c r="E6" s="5">
        <v>2649.2400000000002</v>
      </c>
      <c r="F6" s="2">
        <v>2500</v>
      </c>
      <c r="G6" s="1" t="s">
        <v>32</v>
      </c>
      <c r="H6" s="1">
        <v>17.241379310344829</v>
      </c>
      <c r="I6">
        <f>H6/0.8</f>
        <v>21.551724137931036</v>
      </c>
      <c r="J6" s="4">
        <f>I6+1.5</f>
        <v>23.051724137931036</v>
      </c>
    </row>
    <row r="7" spans="2:12" x14ac:dyDescent="0.35">
      <c r="B7" s="1" t="s">
        <v>4</v>
      </c>
      <c r="C7" s="1"/>
      <c r="D7" s="1">
        <v>2052</v>
      </c>
      <c r="E7" s="5">
        <v>2649.2400000000002</v>
      </c>
      <c r="F7" s="2">
        <v>2000</v>
      </c>
      <c r="G7" s="1" t="s">
        <v>32</v>
      </c>
      <c r="H7" s="1">
        <v>13.793103448275861</v>
      </c>
      <c r="I7">
        <f t="shared" ref="I7:I14" si="0">H7/0.8</f>
        <v>17.241379310344826</v>
      </c>
      <c r="J7" s="4">
        <f t="shared" ref="J7:J14" si="1">I7+1.5</f>
        <v>18.741379310344826</v>
      </c>
      <c r="L7">
        <v>1500</v>
      </c>
    </row>
    <row r="8" spans="2:12" x14ac:dyDescent="0.35">
      <c r="B8" s="55" t="s">
        <v>5</v>
      </c>
      <c r="C8" s="1"/>
      <c r="D8" s="1">
        <v>3876</v>
      </c>
      <c r="E8" s="5">
        <v>5004.12</v>
      </c>
      <c r="F8" s="2">
        <v>5500</v>
      </c>
      <c r="G8" s="1" t="s">
        <v>31</v>
      </c>
      <c r="H8" s="1">
        <v>37.931034482758619</v>
      </c>
      <c r="I8">
        <f t="shared" si="0"/>
        <v>47.41379310344827</v>
      </c>
      <c r="J8" s="4">
        <f t="shared" si="1"/>
        <v>48.91379310344827</v>
      </c>
      <c r="K8" s="56">
        <v>47</v>
      </c>
      <c r="L8">
        <v>1500</v>
      </c>
    </row>
    <row r="9" spans="2:12" x14ac:dyDescent="0.35">
      <c r="B9" s="1" t="s">
        <v>6</v>
      </c>
      <c r="C9" s="1"/>
      <c r="D9" s="1">
        <v>684</v>
      </c>
      <c r="E9" s="5">
        <v>883.07999999999993</v>
      </c>
      <c r="F9" s="2">
        <v>15000</v>
      </c>
      <c r="G9" s="1" t="s">
        <v>31</v>
      </c>
      <c r="H9" s="1">
        <v>103.44827586206897</v>
      </c>
      <c r="I9">
        <f t="shared" si="0"/>
        <v>129.31034482758619</v>
      </c>
      <c r="J9" s="4">
        <f t="shared" si="1"/>
        <v>130.81034482758619</v>
      </c>
    </row>
    <row r="10" spans="2:12" x14ac:dyDescent="0.35">
      <c r="B10" s="1" t="s">
        <v>7</v>
      </c>
      <c r="C10" s="1"/>
      <c r="D10" s="1">
        <v>684</v>
      </c>
      <c r="E10" s="5">
        <v>883.07999999999993</v>
      </c>
      <c r="F10" s="2">
        <v>4100</v>
      </c>
      <c r="G10" s="1" t="s">
        <v>32</v>
      </c>
      <c r="H10" s="1">
        <v>28.275862068965516</v>
      </c>
      <c r="I10">
        <f t="shared" si="0"/>
        <v>35.34482758620689</v>
      </c>
      <c r="J10" s="4">
        <f t="shared" si="1"/>
        <v>36.84482758620689</v>
      </c>
    </row>
    <row r="11" spans="2:12" x14ac:dyDescent="0.35">
      <c r="B11" s="1" t="s">
        <v>8</v>
      </c>
      <c r="C11" s="1"/>
      <c r="D11" s="1">
        <v>1140</v>
      </c>
      <c r="E11" s="5">
        <v>1471.8</v>
      </c>
      <c r="F11" s="2">
        <v>7173</v>
      </c>
      <c r="G11" s="1" t="s">
        <v>32</v>
      </c>
      <c r="H11" s="1">
        <v>49.468965517241379</v>
      </c>
      <c r="I11">
        <f t="shared" si="0"/>
        <v>61.836206896551722</v>
      </c>
      <c r="J11" s="4">
        <f t="shared" si="1"/>
        <v>63.336206896551722</v>
      </c>
      <c r="K11">
        <v>114</v>
      </c>
      <c r="L11">
        <v>300</v>
      </c>
    </row>
    <row r="12" spans="2:12" x14ac:dyDescent="0.35">
      <c r="B12" s="1" t="s">
        <v>9</v>
      </c>
      <c r="C12" s="1"/>
      <c r="D12" s="1">
        <v>912</v>
      </c>
      <c r="E12" s="5">
        <v>1177.44</v>
      </c>
      <c r="F12" s="3">
        <v>18000</v>
      </c>
      <c r="G12" s="1"/>
      <c r="H12" s="1">
        <v>124.13793103448276</v>
      </c>
      <c r="I12">
        <f t="shared" si="0"/>
        <v>155.17241379310343</v>
      </c>
      <c r="J12" s="4">
        <f t="shared" si="1"/>
        <v>156.67241379310343</v>
      </c>
      <c r="K12">
        <v>125</v>
      </c>
      <c r="L12">
        <v>300</v>
      </c>
    </row>
    <row r="13" spans="2:12" x14ac:dyDescent="0.35">
      <c r="B13" s="1" t="s">
        <v>10</v>
      </c>
      <c r="C13" s="1"/>
      <c r="D13" s="1">
        <v>684</v>
      </c>
      <c r="E13" s="15">
        <v>883.07999999999993</v>
      </c>
      <c r="F13" s="3">
        <v>16500</v>
      </c>
      <c r="G13" s="1"/>
      <c r="H13" s="1">
        <v>113.79310344827586</v>
      </c>
      <c r="I13">
        <f t="shared" si="0"/>
        <v>142.24137931034483</v>
      </c>
      <c r="J13" s="4">
        <f t="shared" si="1"/>
        <v>143.74137931034483</v>
      </c>
      <c r="K13">
        <v>144</v>
      </c>
      <c r="L13">
        <v>300</v>
      </c>
    </row>
    <row r="14" spans="2:12" x14ac:dyDescent="0.35">
      <c r="B14" s="55" t="s">
        <v>11</v>
      </c>
      <c r="C14" s="1">
        <v>5814</v>
      </c>
      <c r="D14" s="1">
        <f>C14-C17</f>
        <v>5814</v>
      </c>
      <c r="E14" s="5">
        <v>6119.7443999999996</v>
      </c>
      <c r="F14" s="3">
        <v>1500</v>
      </c>
      <c r="G14" s="1"/>
      <c r="H14" s="18">
        <v>10.344827586206897</v>
      </c>
      <c r="I14">
        <f t="shared" si="0"/>
        <v>12.931034482758621</v>
      </c>
      <c r="J14" s="4">
        <f t="shared" si="1"/>
        <v>14.431034482758621</v>
      </c>
      <c r="K14" s="56">
        <v>15.5</v>
      </c>
      <c r="L14">
        <v>3000</v>
      </c>
    </row>
    <row r="15" spans="2:12" x14ac:dyDescent="0.35">
      <c r="B15" s="6" t="s">
        <v>44</v>
      </c>
      <c r="C15" s="7"/>
      <c r="D15" s="7">
        <f>D6+D7+D8+D9+D10+D11+D12+D13+C14</f>
        <v>17898</v>
      </c>
      <c r="E15" s="4"/>
    </row>
    <row r="16" spans="2:12" x14ac:dyDescent="0.35">
      <c r="I16" t="s">
        <v>80</v>
      </c>
    </row>
    <row r="17" spans="2:12" x14ac:dyDescent="0.35">
      <c r="I17" t="s">
        <v>81</v>
      </c>
      <c r="J17" t="s">
        <v>82</v>
      </c>
      <c r="K17" t="s">
        <v>83</v>
      </c>
      <c r="L17" t="s">
        <v>84</v>
      </c>
    </row>
    <row r="18" spans="2:12" x14ac:dyDescent="0.35">
      <c r="B18" s="1" t="s">
        <v>3</v>
      </c>
      <c r="H18">
        <v>17.241379310344829</v>
      </c>
      <c r="I18">
        <f>H18+2</f>
        <v>19.241379310344829</v>
      </c>
      <c r="J18">
        <f>I18/0.85</f>
        <v>22.6369168356998</v>
      </c>
    </row>
    <row r="19" spans="2:12" x14ac:dyDescent="0.35">
      <c r="B19" s="1" t="s">
        <v>4</v>
      </c>
      <c r="H19">
        <v>13.793103448275861</v>
      </c>
      <c r="I19">
        <f t="shared" ref="I19:I26" si="2">H19+2</f>
        <v>15.793103448275861</v>
      </c>
      <c r="J19">
        <f t="shared" ref="J19:J26" si="3">I19/0.85</f>
        <v>18.580121703853955</v>
      </c>
      <c r="K19">
        <v>19</v>
      </c>
      <c r="L19">
        <v>1500</v>
      </c>
    </row>
    <row r="20" spans="2:12" x14ac:dyDescent="0.35">
      <c r="B20" s="1" t="s">
        <v>5</v>
      </c>
      <c r="H20">
        <v>37.931034482758619</v>
      </c>
      <c r="I20">
        <f t="shared" si="2"/>
        <v>39.931034482758619</v>
      </c>
      <c r="J20">
        <f t="shared" si="3"/>
        <v>46.977687626774845</v>
      </c>
      <c r="K20">
        <v>47</v>
      </c>
      <c r="L20">
        <v>1500</v>
      </c>
    </row>
    <row r="21" spans="2:12" x14ac:dyDescent="0.35">
      <c r="B21" s="1" t="s">
        <v>6</v>
      </c>
      <c r="H21">
        <v>103.44827586206897</v>
      </c>
      <c r="I21">
        <f t="shared" si="2"/>
        <v>105.44827586206897</v>
      </c>
      <c r="J21">
        <f t="shared" si="3"/>
        <v>124.05679513184585</v>
      </c>
    </row>
    <row r="22" spans="2:12" x14ac:dyDescent="0.35">
      <c r="B22" s="1" t="s">
        <v>7</v>
      </c>
      <c r="H22">
        <v>28.275862068965516</v>
      </c>
      <c r="I22">
        <f t="shared" si="2"/>
        <v>30.275862068965516</v>
      </c>
      <c r="J22">
        <f t="shared" si="3"/>
        <v>35.61866125760649</v>
      </c>
    </row>
    <row r="23" spans="2:12" x14ac:dyDescent="0.35">
      <c r="B23" s="1" t="s">
        <v>8</v>
      </c>
      <c r="H23">
        <v>49.468965517241379</v>
      </c>
      <c r="I23">
        <f t="shared" si="2"/>
        <v>51.468965517241379</v>
      </c>
      <c r="J23">
        <f t="shared" si="3"/>
        <v>60.551724137931039</v>
      </c>
      <c r="K23">
        <v>61</v>
      </c>
      <c r="L23">
        <v>300</v>
      </c>
    </row>
    <row r="24" spans="2:12" x14ac:dyDescent="0.35">
      <c r="B24" s="1" t="s">
        <v>9</v>
      </c>
      <c r="H24">
        <v>124.13793103448276</v>
      </c>
      <c r="I24">
        <f t="shared" si="2"/>
        <v>126.13793103448276</v>
      </c>
      <c r="J24">
        <f t="shared" si="3"/>
        <v>148.3975659229209</v>
      </c>
      <c r="K24">
        <v>149</v>
      </c>
      <c r="L24">
        <v>300</v>
      </c>
    </row>
    <row r="25" spans="2:12" x14ac:dyDescent="0.35">
      <c r="B25" s="1" t="s">
        <v>10</v>
      </c>
      <c r="H25">
        <v>113.79310344827586</v>
      </c>
      <c r="I25">
        <f t="shared" si="2"/>
        <v>115.79310344827586</v>
      </c>
      <c r="J25">
        <f t="shared" si="3"/>
        <v>136.22718052738335</v>
      </c>
      <c r="K25">
        <v>137</v>
      </c>
      <c r="L25">
        <v>300</v>
      </c>
    </row>
    <row r="26" spans="2:12" x14ac:dyDescent="0.35">
      <c r="B26" s="1" t="s">
        <v>11</v>
      </c>
      <c r="H26">
        <v>10.344827586206897</v>
      </c>
      <c r="I26">
        <f t="shared" si="2"/>
        <v>12.344827586206897</v>
      </c>
      <c r="J26">
        <f t="shared" si="3"/>
        <v>14.523326572008115</v>
      </c>
      <c r="K26">
        <v>15.5</v>
      </c>
      <c r="L26">
        <v>3000</v>
      </c>
    </row>
    <row r="30" spans="2:12" x14ac:dyDescent="0.35">
      <c r="B30" s="21">
        <v>2023</v>
      </c>
      <c r="C30" s="21" t="s">
        <v>83</v>
      </c>
      <c r="D30" s="21" t="s">
        <v>84</v>
      </c>
      <c r="E30" s="21"/>
    </row>
    <row r="31" spans="2:12" x14ac:dyDescent="0.35">
      <c r="B31" s="3" t="s">
        <v>4</v>
      </c>
      <c r="C31" s="3">
        <v>19</v>
      </c>
      <c r="D31" s="3">
        <v>1500</v>
      </c>
      <c r="E31" s="21"/>
    </row>
    <row r="32" spans="2:12" x14ac:dyDescent="0.35">
      <c r="B32" s="3" t="s">
        <v>5</v>
      </c>
      <c r="C32" s="3">
        <v>47</v>
      </c>
      <c r="D32" s="3">
        <v>1500</v>
      </c>
      <c r="E32" s="21"/>
    </row>
    <row r="33" spans="2:5" x14ac:dyDescent="0.35">
      <c r="B33" s="3" t="s">
        <v>8</v>
      </c>
      <c r="C33" s="3">
        <v>61</v>
      </c>
      <c r="D33" s="3">
        <v>300</v>
      </c>
      <c r="E33" s="21"/>
    </row>
    <row r="34" spans="2:5" x14ac:dyDescent="0.35">
      <c r="B34" s="3" t="s">
        <v>9</v>
      </c>
      <c r="C34" s="3">
        <v>149</v>
      </c>
      <c r="D34" s="3">
        <v>300</v>
      </c>
      <c r="E34" s="21"/>
    </row>
    <row r="35" spans="2:5" x14ac:dyDescent="0.35">
      <c r="B35" s="3" t="s">
        <v>10</v>
      </c>
      <c r="C35" s="3">
        <v>137</v>
      </c>
      <c r="D35" s="3">
        <v>300</v>
      </c>
      <c r="E35" s="21"/>
    </row>
    <row r="36" spans="2:5" x14ac:dyDescent="0.35">
      <c r="B36" s="3" t="s">
        <v>11</v>
      </c>
      <c r="C36" s="3">
        <v>15.5</v>
      </c>
      <c r="D36" s="3">
        <v>3000</v>
      </c>
      <c r="E3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travail</vt:lpstr>
      <vt:lpstr>Calcul pour flora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2024-05-29T09:09:41Z</cp:lastPrinted>
  <dcterms:created xsi:type="dcterms:W3CDTF">2024-03-19T15:27:05Z</dcterms:created>
  <dcterms:modified xsi:type="dcterms:W3CDTF">2024-07-26T12:26:04Z</dcterms:modified>
</cp:coreProperties>
</file>