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MISES EN BT\"/>
    </mc:Choice>
  </mc:AlternateContent>
  <xr:revisionPtr revIDLastSave="0" documentId="13_ncr:1_{CB149754-020A-40AD-B01E-4B3510C30491}" xr6:coauthVersionLast="47" xr6:coauthVersionMax="47" xr10:uidLastSave="{00000000-0000-0000-0000-000000000000}"/>
  <bookViews>
    <workbookView xWindow="-110" yWindow="-110" windowWidth="38620" windowHeight="21100" activeTab="2" xr2:uid="{F5F19158-726B-4B2B-8332-CED03C1D5589}"/>
  </bookViews>
  <sheets>
    <sheet name="Feuil1" sheetId="1" r:id="rId1"/>
    <sheet name="Feuil2" sheetId="2" r:id="rId2"/>
    <sheet name="Feuil3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K20" i="3"/>
  <c r="K21" i="3"/>
  <c r="K22" i="3"/>
  <c r="J31" i="3"/>
  <c r="K31" i="3" s="1"/>
  <c r="J20" i="3"/>
  <c r="J16" i="3"/>
  <c r="K16" i="3" s="1"/>
  <c r="J17" i="3"/>
  <c r="K17" i="3" s="1"/>
  <c r="J18" i="3"/>
  <c r="K18" i="3" s="1"/>
  <c r="J19" i="3"/>
  <c r="K19" i="3" s="1"/>
  <c r="J22" i="2"/>
  <c r="K22" i="2" s="1"/>
  <c r="K60" i="1"/>
  <c r="C24" i="3"/>
  <c r="D24" i="3" s="1"/>
  <c r="E24" i="3" s="1"/>
  <c r="H24" i="3" s="1"/>
  <c r="J24" i="3" s="1"/>
  <c r="K24" i="3" s="1"/>
  <c r="C25" i="3"/>
  <c r="D25" i="3" s="1"/>
  <c r="E25" i="3" s="1"/>
  <c r="H25" i="3" s="1"/>
  <c r="J25" i="3" s="1"/>
  <c r="K25" i="3" s="1"/>
  <c r="C26" i="3"/>
  <c r="D26" i="3" s="1"/>
  <c r="C27" i="3"/>
  <c r="D27" i="3" s="1"/>
  <c r="E27" i="3" s="1"/>
  <c r="H27" i="3" s="1"/>
  <c r="J27" i="3" s="1"/>
  <c r="K27" i="3" s="1"/>
  <c r="C28" i="3"/>
  <c r="D28" i="3" s="1"/>
  <c r="E28" i="3" s="1"/>
  <c r="H28" i="3" s="1"/>
  <c r="J28" i="3" s="1"/>
  <c r="K28" i="3" s="1"/>
  <c r="C29" i="3"/>
  <c r="D29" i="3" s="1"/>
  <c r="E29" i="3" s="1"/>
  <c r="H29" i="3" s="1"/>
  <c r="J29" i="3" s="1"/>
  <c r="K29" i="3" s="1"/>
  <c r="C30" i="3"/>
  <c r="D30" i="3" s="1"/>
  <c r="E30" i="3" s="1"/>
  <c r="H30" i="3" s="1"/>
  <c r="J30" i="3" s="1"/>
  <c r="K30" i="3" s="1"/>
  <c r="C23" i="3"/>
  <c r="C4" i="3"/>
  <c r="D4" i="3" s="1"/>
  <c r="C5" i="3"/>
  <c r="C6" i="3"/>
  <c r="C7" i="3"/>
  <c r="C8" i="3"/>
  <c r="D8" i="3" s="1"/>
  <c r="C10" i="3"/>
  <c r="C11" i="3"/>
  <c r="C12" i="3"/>
  <c r="C13" i="3"/>
  <c r="C14" i="3"/>
  <c r="C15" i="3"/>
  <c r="D15" i="3" s="1"/>
  <c r="E15" i="3" s="1"/>
  <c r="H15" i="3" s="1"/>
  <c r="J15" i="3" s="1"/>
  <c r="K15" i="3" s="1"/>
  <c r="C3" i="3"/>
  <c r="F68" i="1"/>
  <c r="F69" i="1"/>
  <c r="F70" i="1"/>
  <c r="F71" i="1"/>
  <c r="F72" i="1"/>
  <c r="F73" i="1"/>
  <c r="F74" i="1"/>
  <c r="F75" i="1"/>
  <c r="F67" i="1"/>
  <c r="J68" i="1"/>
  <c r="J69" i="1"/>
  <c r="J70" i="1"/>
  <c r="J71" i="1"/>
  <c r="J72" i="1"/>
  <c r="J73" i="1"/>
  <c r="J74" i="1"/>
  <c r="J75" i="1"/>
  <c r="J67" i="1"/>
  <c r="I22" i="2"/>
  <c r="K61" i="1"/>
  <c r="K62" i="1"/>
  <c r="E60" i="1"/>
  <c r="E61" i="1"/>
  <c r="S40" i="1"/>
  <c r="M69" i="1"/>
  <c r="S43" i="1"/>
  <c r="F23" i="2"/>
  <c r="G23" i="2" s="1"/>
  <c r="H23" i="2" s="1"/>
  <c r="M71" i="1"/>
  <c r="M74" i="1"/>
  <c r="M75" i="1"/>
  <c r="M67" i="1"/>
  <c r="S41" i="1"/>
  <c r="S42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39" i="1"/>
  <c r="M68" i="1"/>
  <c r="M70" i="1"/>
  <c r="M72" i="1"/>
  <c r="M73" i="1"/>
  <c r="H43" i="1"/>
  <c r="H48" i="1"/>
  <c r="I48" i="1" s="1"/>
  <c r="J48" i="1" s="1"/>
  <c r="H55" i="1"/>
  <c r="I55" i="1" s="1"/>
  <c r="J55" i="1" s="1"/>
  <c r="F56" i="1"/>
  <c r="G56" i="1" s="1"/>
  <c r="K56" i="1" s="1"/>
  <c r="F55" i="1"/>
  <c r="G55" i="1" s="1"/>
  <c r="K55" i="1" s="1"/>
  <c r="F54" i="1"/>
  <c r="G54" i="1" s="1"/>
  <c r="K54" i="1" s="1"/>
  <c r="F53" i="1"/>
  <c r="G53" i="1" s="1"/>
  <c r="K53" i="1" s="1"/>
  <c r="F52" i="1"/>
  <c r="G52" i="1" s="1"/>
  <c r="K52" i="1" s="1"/>
  <c r="F51" i="1"/>
  <c r="G51" i="1" s="1"/>
  <c r="K51" i="1" s="1"/>
  <c r="F50" i="1"/>
  <c r="G50" i="1" s="1"/>
  <c r="K50" i="1" s="1"/>
  <c r="F49" i="1"/>
  <c r="G49" i="1" s="1"/>
  <c r="K49" i="1" s="1"/>
  <c r="F48" i="1"/>
  <c r="G48" i="1" s="1"/>
  <c r="K48" i="1" s="1"/>
  <c r="F47" i="1"/>
  <c r="G47" i="1" s="1"/>
  <c r="K47" i="1" s="1"/>
  <c r="F46" i="1"/>
  <c r="G46" i="1" s="1"/>
  <c r="K46" i="1" s="1"/>
  <c r="F45" i="1"/>
  <c r="G45" i="1" s="1"/>
  <c r="K45" i="1" s="1"/>
  <c r="F44" i="1"/>
  <c r="G44" i="1" s="1"/>
  <c r="K44" i="1" s="1"/>
  <c r="F43" i="1"/>
  <c r="G43" i="1" s="1"/>
  <c r="K43" i="1" s="1"/>
  <c r="F42" i="1"/>
  <c r="G42" i="1" s="1"/>
  <c r="K42" i="1" s="1"/>
  <c r="F41" i="1"/>
  <c r="G41" i="1" s="1"/>
  <c r="K41" i="1" s="1"/>
  <c r="F40" i="1"/>
  <c r="G40" i="1" s="1"/>
  <c r="K40" i="1" s="1"/>
  <c r="F39" i="1"/>
  <c r="G39" i="1" s="1"/>
  <c r="K39" i="1" s="1"/>
  <c r="D76" i="1"/>
  <c r="C78" i="1" s="1"/>
  <c r="D32" i="1"/>
  <c r="E32" i="1" s="1"/>
  <c r="D29" i="1"/>
  <c r="C60" i="1" s="1"/>
  <c r="D27" i="1"/>
  <c r="C61" i="1" s="1"/>
  <c r="E24" i="1"/>
  <c r="E23" i="1"/>
  <c r="E22" i="1"/>
  <c r="E21" i="1"/>
  <c r="E20" i="1"/>
  <c r="E19" i="1"/>
  <c r="E18" i="1"/>
  <c r="E17" i="1"/>
  <c r="E16" i="1"/>
  <c r="E12" i="1"/>
  <c r="E11" i="1"/>
  <c r="E10" i="1"/>
  <c r="E8" i="1"/>
  <c r="E7" i="1"/>
  <c r="D9" i="3" l="1"/>
  <c r="E9" i="3" s="1"/>
  <c r="H9" i="3" s="1"/>
  <c r="J9" i="3" s="1"/>
  <c r="K9" i="3" s="1"/>
  <c r="E8" i="3"/>
  <c r="H8" i="3" s="1"/>
  <c r="J8" i="3" s="1"/>
  <c r="K8" i="3" s="1"/>
  <c r="D7" i="3"/>
  <c r="E7" i="3" s="1"/>
  <c r="H7" i="3" s="1"/>
  <c r="J7" i="3" s="1"/>
  <c r="K7" i="3" s="1"/>
  <c r="D6" i="3"/>
  <c r="E6" i="3" s="1"/>
  <c r="H6" i="3" s="1"/>
  <c r="J6" i="3" s="1"/>
  <c r="K6" i="3" s="1"/>
  <c r="D23" i="3"/>
  <c r="E23" i="3" s="1"/>
  <c r="H23" i="3" s="1"/>
  <c r="J23" i="3" s="1"/>
  <c r="K23" i="3" s="1"/>
  <c r="D5" i="3"/>
  <c r="E5" i="3" s="1"/>
  <c r="H5" i="3" s="1"/>
  <c r="J5" i="3" s="1"/>
  <c r="K5" i="3" s="1"/>
  <c r="E26" i="3"/>
  <c r="H26" i="3" s="1"/>
  <c r="J26" i="3" s="1"/>
  <c r="K26" i="3" s="1"/>
  <c r="E4" i="3"/>
  <c r="H4" i="3" s="1"/>
  <c r="J4" i="3" s="1"/>
  <c r="K4" i="3" s="1"/>
  <c r="D3" i="3"/>
  <c r="E3" i="3" s="1"/>
  <c r="H3" i="3" s="1"/>
  <c r="J3" i="3" s="1"/>
  <c r="K3" i="3" s="1"/>
  <c r="D14" i="3"/>
  <c r="E14" i="3" s="1"/>
  <c r="H14" i="3" s="1"/>
  <c r="J14" i="3" s="1"/>
  <c r="K14" i="3" s="1"/>
  <c r="D13" i="3"/>
  <c r="E13" i="3" s="1"/>
  <c r="H13" i="3" s="1"/>
  <c r="J13" i="3" s="1"/>
  <c r="K13" i="3" s="1"/>
  <c r="D12" i="3"/>
  <c r="E12" i="3" s="1"/>
  <c r="H12" i="3" s="1"/>
  <c r="J12" i="3" s="1"/>
  <c r="K12" i="3" s="1"/>
  <c r="D11" i="3"/>
  <c r="E11" i="3" s="1"/>
  <c r="H11" i="3" s="1"/>
  <c r="J11" i="3" s="1"/>
  <c r="K11" i="3" s="1"/>
  <c r="D10" i="3"/>
  <c r="E10" i="3" s="1"/>
  <c r="H10" i="3" s="1"/>
  <c r="J10" i="3" s="1"/>
  <c r="K10" i="3" s="1"/>
  <c r="I23" i="2"/>
  <c r="J23" i="2" s="1"/>
  <c r="K23" i="2" s="1"/>
  <c r="H42" i="1"/>
  <c r="I54" i="1"/>
  <c r="J54" i="1" s="1"/>
  <c r="I43" i="1"/>
  <c r="J43" i="1" s="1"/>
  <c r="E29" i="1"/>
  <c r="I42" i="1"/>
  <c r="J42" i="1" s="1"/>
  <c r="H39" i="1"/>
  <c r="H54" i="1"/>
  <c r="H49" i="1"/>
  <c r="I49" i="1" s="1"/>
  <c r="J49" i="1" s="1"/>
  <c r="H45" i="1"/>
  <c r="I45" i="1" s="1"/>
  <c r="J45" i="1" s="1"/>
  <c r="H56" i="1"/>
  <c r="I56" i="1" s="1"/>
  <c r="J56" i="1" s="1"/>
  <c r="H44" i="1"/>
  <c r="I44" i="1" s="1"/>
  <c r="J44" i="1" s="1"/>
  <c r="I50" i="1"/>
  <c r="J50" i="1" s="1"/>
  <c r="H41" i="1"/>
  <c r="I41" i="1" s="1"/>
  <c r="J41" i="1" s="1"/>
  <c r="H52" i="1"/>
  <c r="I52" i="1" s="1"/>
  <c r="J52" i="1" s="1"/>
  <c r="H40" i="1"/>
  <c r="I40" i="1" s="1"/>
  <c r="J40" i="1" s="1"/>
  <c r="H53" i="1"/>
  <c r="I53" i="1" s="1"/>
  <c r="J53" i="1" s="1"/>
  <c r="H51" i="1"/>
  <c r="I51" i="1" s="1"/>
  <c r="J51" i="1" s="1"/>
  <c r="I39" i="1"/>
  <c r="J39" i="1" s="1"/>
  <c r="E27" i="1"/>
  <c r="H50" i="1"/>
  <c r="F60" i="1"/>
  <c r="F61" i="1"/>
  <c r="H47" i="1"/>
  <c r="I47" i="1" s="1"/>
  <c r="J47" i="1" s="1"/>
  <c r="F62" i="1"/>
  <c r="H46" i="1"/>
  <c r="I46" i="1" s="1"/>
  <c r="J46" i="1" s="1"/>
  <c r="C62" i="1"/>
  <c r="D14" i="1"/>
  <c r="E14" i="1" s="1"/>
  <c r="D15" i="1"/>
  <c r="E15" i="1" s="1"/>
  <c r="K27" i="1"/>
  <c r="D13" i="1" s="1"/>
  <c r="E13" i="1" s="1"/>
  <c r="D75" i="1"/>
  <c r="H27" i="1"/>
  <c r="D9" i="1" s="1"/>
  <c r="E9" i="1" s="1"/>
  <c r="E25" i="1" l="1"/>
</calcChain>
</file>

<file path=xl/sharedStrings.xml><?xml version="1.0" encoding="utf-8"?>
<sst xmlns="http://schemas.openxmlformats.org/spreadsheetml/2006/main" count="299" uniqueCount="146">
  <si>
    <t>CALCUL DES USURES DOMAINE</t>
  </si>
  <si>
    <t>Tirage en Bt</t>
  </si>
  <si>
    <t>Beaune 1er cru les montrevenots</t>
  </si>
  <si>
    <t>Beaune 1er cru les boucherottes</t>
  </si>
  <si>
    <t>Bourgogne Pinot noir</t>
  </si>
  <si>
    <t>usure</t>
  </si>
  <si>
    <t>Chambolle musiny</t>
  </si>
  <si>
    <t>Clos Vougeot</t>
  </si>
  <si>
    <t>Echezeaux</t>
  </si>
  <si>
    <t>Bourgogne Hautes Cotes de Nuits rouge</t>
  </si>
  <si>
    <t>Bourgogne Hautes Cotes de Nuits blancs</t>
  </si>
  <si>
    <t>Moulin a vent</t>
  </si>
  <si>
    <t>Pommard 1er cru les Arvelets</t>
  </si>
  <si>
    <t>Pommard 1er cru les chanlins</t>
  </si>
  <si>
    <t>Pommard 1er cru les pezerolles</t>
  </si>
  <si>
    <t>Richebourg</t>
  </si>
  <si>
    <t>Savigny 1er cru le clos des Guettes</t>
  </si>
  <si>
    <t>Signature VSIG</t>
  </si>
  <si>
    <t>Vosne Romanée aux reas</t>
  </si>
  <si>
    <t>Vosne romanée maizieres</t>
  </si>
  <si>
    <t>Vosne romanée les Chalandins</t>
  </si>
  <si>
    <t>Total rouge domaine</t>
  </si>
  <si>
    <t>BG</t>
  </si>
  <si>
    <t>HN</t>
  </si>
  <si>
    <t>Total blancs domaine</t>
  </si>
  <si>
    <t>Total gamay</t>
  </si>
  <si>
    <t xml:space="preserve"> avant usure</t>
  </si>
  <si>
    <t>En Litres</t>
  </si>
  <si>
    <t>recolte 2033</t>
  </si>
  <si>
    <t>Recolte nette des ventes</t>
  </si>
  <si>
    <t>Avant usure</t>
  </si>
  <si>
    <t>Quantités en Litres</t>
  </si>
  <si>
    <t xml:space="preserve">Savigny les beaune </t>
  </si>
  <si>
    <t>Monthelie</t>
  </si>
  <si>
    <t>Gevrey Chambertin</t>
  </si>
  <si>
    <t>Gevrey 1er cru combe au moine</t>
  </si>
  <si>
    <t>Aloxe corton 1er cru les Valozieres</t>
  </si>
  <si>
    <t>Volnay 1er cru les brouillards</t>
  </si>
  <si>
    <t>Chambolle Musigny1er cru Aux Echanges</t>
  </si>
  <si>
    <t>Corton Grand cu rouge</t>
  </si>
  <si>
    <t>Bourgogne</t>
  </si>
  <si>
    <t>Total en litres</t>
  </si>
  <si>
    <t>Usure</t>
  </si>
  <si>
    <t>litres</t>
  </si>
  <si>
    <t>CALCUL DES USURES NEGOCE</t>
  </si>
  <si>
    <t>A prendre sur BG</t>
  </si>
  <si>
    <t>Reste a embouteiller</t>
  </si>
  <si>
    <t xml:space="preserve">Pour juillet je propose </t>
  </si>
  <si>
    <t>MOUL</t>
  </si>
  <si>
    <t>HNB</t>
  </si>
  <si>
    <t>Ote 12% pour les GC</t>
  </si>
  <si>
    <t>Objectif</t>
  </si>
  <si>
    <t>en litres</t>
  </si>
  <si>
    <t xml:space="preserve">Ote 3% de pertes </t>
  </si>
  <si>
    <t>Mise</t>
  </si>
  <si>
    <t>Recapitulatif de 2023</t>
  </si>
  <si>
    <t>usure juil</t>
  </si>
  <si>
    <t>usure dec</t>
  </si>
  <si>
    <t>usure totale</t>
  </si>
  <si>
    <t>reste pour mise</t>
  </si>
  <si>
    <t>En BT</t>
  </si>
  <si>
    <t>En BT ou eq bt</t>
  </si>
  <si>
    <t>avec 60 MG</t>
  </si>
  <si>
    <t>Pour 2023</t>
  </si>
  <si>
    <t>PROJECTION</t>
  </si>
  <si>
    <t>je decide</t>
  </si>
  <si>
    <t>En %</t>
  </si>
  <si>
    <t>Total blanc</t>
  </si>
  <si>
    <t>toatl rouge</t>
  </si>
  <si>
    <t>Pour juillet je fais 228l et on ajustera en decembre</t>
  </si>
  <si>
    <t>usure 4%</t>
  </si>
  <si>
    <t>Usure 3%</t>
  </si>
  <si>
    <t>Lie prévue</t>
  </si>
  <si>
    <t>3l/fut</t>
  </si>
  <si>
    <t>reste apres usure</t>
  </si>
  <si>
    <t>A minima</t>
  </si>
  <si>
    <t>ATTENTION COMMANDE DE 600 BOUCHONS NEUTRES FLORA</t>
  </si>
  <si>
    <t>ATTENTION COMMANDE DE 1800 BOUCHONS NEUTRES POUR FLORA</t>
  </si>
  <si>
    <t xml:space="preserve">Resterait </t>
  </si>
  <si>
    <t>Solde</t>
  </si>
  <si>
    <t>GRAND FORMATS</t>
  </si>
  <si>
    <t>X</t>
  </si>
  <si>
    <t>Je prends encore 3L de lie</t>
  </si>
  <si>
    <t>Donc Bt envisagee</t>
  </si>
  <si>
    <t xml:space="preserve">  </t>
  </si>
  <si>
    <t>Bouchons pour nous</t>
  </si>
  <si>
    <t>Bouchons pour Flora neutres</t>
  </si>
  <si>
    <t>Tirages pour nous</t>
  </si>
  <si>
    <t>Et en plus</t>
  </si>
  <si>
    <t>NEGOCE</t>
  </si>
  <si>
    <t>DOMAINE</t>
  </si>
  <si>
    <t>MAXIMA</t>
  </si>
  <si>
    <t>MINIMA</t>
  </si>
  <si>
    <t>3L/FUT</t>
  </si>
  <si>
    <t>Minima</t>
  </si>
  <si>
    <t xml:space="preserve">Tirage en Bt </t>
  </si>
  <si>
    <t>Maxima</t>
  </si>
  <si>
    <t>Pour l'usure des rouge j'ai passé 456 litres en juillet sur les BG</t>
  </si>
  <si>
    <t>Pour le reste j'anticipe de faire 684 de BG et 456 de HN</t>
  </si>
  <si>
    <t>recolte</t>
  </si>
  <si>
    <t xml:space="preserve">Au total il y aura eu 1596 soit 7 pieces d'usure pour tous les rouges (ce qui represente 4%) </t>
  </si>
  <si>
    <t>Je fais encore 3L de lie par fut de 228l</t>
  </si>
  <si>
    <t xml:space="preserve">C'est ainsi que j'obtiens le tirage maxi pour chaque appellation. </t>
  </si>
  <si>
    <t>(Pour le tirage mini je diminue encore de 3% le volume a embouteiller. )</t>
  </si>
  <si>
    <t>En litres reste</t>
  </si>
  <si>
    <t xml:space="preserve"> pour mise</t>
  </si>
  <si>
    <t>totale</t>
  </si>
  <si>
    <t>juil</t>
  </si>
  <si>
    <t>dec</t>
  </si>
  <si>
    <t>reste en Lt</t>
  </si>
  <si>
    <t>ap usure</t>
  </si>
  <si>
    <t>Alloués au 07 01 2025</t>
  </si>
  <si>
    <t>CV--23BT</t>
  </si>
  <si>
    <t>OK</t>
  </si>
  <si>
    <t>USURE DE DEC/JANV JE PASSE</t>
  </si>
  <si>
    <t>456 EN HN ET 456 EN BG DOMAINE</t>
  </si>
  <si>
    <t>98 EN HNB</t>
  </si>
  <si>
    <t xml:space="preserve">ET POUR NEGOCE </t>
  </si>
  <si>
    <t>LIE</t>
  </si>
  <si>
    <t>69 lie</t>
  </si>
  <si>
    <t>50 perte emb</t>
  </si>
  <si>
    <t>lie</t>
  </si>
  <si>
    <t>emb</t>
  </si>
  <si>
    <t>Bt</t>
  </si>
  <si>
    <t>COMMANDES</t>
  </si>
  <si>
    <t>Jero 3L</t>
  </si>
  <si>
    <t>Mag 1.5L</t>
  </si>
  <si>
    <t>PERTES</t>
  </si>
  <si>
    <t>a embouteiller</t>
  </si>
  <si>
    <t>En L</t>
  </si>
  <si>
    <t>178  LITRES Usure</t>
  </si>
  <si>
    <t>7052 bt</t>
  </si>
  <si>
    <t>Alloues</t>
  </si>
  <si>
    <t>Dspos</t>
  </si>
  <si>
    <t>Beaune montrevenots</t>
  </si>
  <si>
    <t xml:space="preserve">bourgogne </t>
  </si>
  <si>
    <t>HN Rouge</t>
  </si>
  <si>
    <t>HN Blanc</t>
  </si>
  <si>
    <t>MOULIN</t>
  </si>
  <si>
    <t>% Restant</t>
  </si>
  <si>
    <t>Ancien box</t>
  </si>
  <si>
    <t>nouveau</t>
  </si>
  <si>
    <t>Bourgogne Hautes Cotes rouge</t>
  </si>
  <si>
    <t>Echezeaux magnums</t>
  </si>
  <si>
    <t>Clos Vougeot magnums</t>
  </si>
  <si>
    <t>ex 225 puis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</si>
</sst>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" fontId="0" fillId="0" borderId="2" xfId="0" applyNumberFormat="1" applyBorder="1"/>
    <xf numFmtId="0" fontId="0" fillId="2" borderId="1" xfId="0" applyFill="1" applyBorder="1"/>
    <xf numFmtId="0" fontId="0" fillId="3" borderId="0" xfId="0" applyFill="1"/>
    <xf numFmtId="1" fontId="3" fillId="5" borderId="0" xfId="0" applyNumberFormat="1" applyFont="1" applyFill="1"/>
    <xf numFmtId="1" fontId="4" fillId="0" borderId="0" xfId="0" applyNumberFormat="1" applyFont="1"/>
    <xf numFmtId="0" fontId="0" fillId="2" borderId="0" xfId="0" applyFill="1"/>
    <xf numFmtId="1" fontId="0" fillId="4" borderId="0" xfId="0" applyNumberFormat="1" applyFill="1"/>
    <xf numFmtId="0" fontId="0" fillId="6" borderId="1" xfId="0" applyFill="1" applyBorder="1"/>
    <xf numFmtId="0" fontId="5" fillId="0" borderId="1" xfId="0" applyFont="1" applyBorder="1"/>
    <xf numFmtId="1" fontId="0" fillId="7" borderId="1" xfId="0" applyNumberFormat="1" applyFill="1" applyBorder="1"/>
    <xf numFmtId="0" fontId="0" fillId="7" borderId="1" xfId="0" applyFill="1" applyBorder="1"/>
    <xf numFmtId="0" fontId="3" fillId="7" borderId="0" xfId="0" applyFont="1" applyFill="1" applyAlignment="1">
      <alignment horizontal="center"/>
    </xf>
    <xf numFmtId="1" fontId="0" fillId="7" borderId="0" xfId="0" applyNumberFormat="1" applyFill="1"/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9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4" fillId="5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6" borderId="0" xfId="0" applyFill="1"/>
    <xf numFmtId="3" fontId="0" fillId="0" borderId="1" xfId="0" applyNumberFormat="1" applyBorder="1"/>
    <xf numFmtId="0" fontId="0" fillId="7" borderId="0" xfId="0" applyFill="1"/>
    <xf numFmtId="0" fontId="4" fillId="5" borderId="1" xfId="0" applyFont="1" applyFill="1" applyBorder="1"/>
    <xf numFmtId="3" fontId="4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9" fontId="0" fillId="6" borderId="3" xfId="0" applyNumberFormat="1" applyFill="1" applyBorder="1"/>
    <xf numFmtId="0" fontId="3" fillId="6" borderId="0" xfId="0" applyFont="1" applyFill="1" applyAlignment="1">
      <alignment horizontal="center"/>
    </xf>
    <xf numFmtId="1" fontId="0" fillId="6" borderId="0" xfId="0" applyNumberFormat="1" applyFill="1"/>
    <xf numFmtId="1" fontId="0" fillId="6" borderId="1" xfId="0" applyNumberFormat="1" applyFill="1" applyBorder="1"/>
    <xf numFmtId="1" fontId="0" fillId="8" borderId="1" xfId="0" applyNumberFormat="1" applyFill="1" applyBorder="1"/>
    <xf numFmtId="0" fontId="3" fillId="8" borderId="0" xfId="0" applyFont="1" applyFill="1" applyAlignment="1">
      <alignment horizontal="center"/>
    </xf>
    <xf numFmtId="0" fontId="0" fillId="8" borderId="1" xfId="0" applyFill="1" applyBorder="1"/>
    <xf numFmtId="1" fontId="0" fillId="9" borderId="1" xfId="0" applyNumberFormat="1" applyFill="1" applyBorder="1"/>
    <xf numFmtId="0" fontId="1" fillId="0" borderId="1" xfId="0" applyFont="1" applyBorder="1"/>
    <xf numFmtId="1" fontId="4" fillId="0" borderId="1" xfId="0" applyNumberFormat="1" applyFont="1" applyBorder="1"/>
    <xf numFmtId="1" fontId="1" fillId="0" borderId="0" xfId="0" applyNumberFormat="1" applyFont="1" applyAlignment="1">
      <alignment horizontal="center"/>
    </xf>
    <xf numFmtId="1" fontId="4" fillId="5" borderId="0" xfId="0" applyNumberFormat="1" applyFont="1" applyFill="1"/>
    <xf numFmtId="0" fontId="2" fillId="7" borderId="0" xfId="0" applyFont="1" applyFill="1"/>
    <xf numFmtId="0" fontId="2" fillId="3" borderId="0" xfId="0" applyFont="1" applyFill="1"/>
    <xf numFmtId="1" fontId="2" fillId="0" borderId="0" xfId="0" applyNumberFormat="1" applyFont="1"/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4" xfId="0" applyFont="1" applyBorder="1"/>
    <xf numFmtId="0" fontId="1" fillId="0" borderId="0" xfId="0" applyFont="1"/>
    <xf numFmtId="1" fontId="1" fillId="0" borderId="1" xfId="0" applyNumberFormat="1" applyFont="1" applyBorder="1"/>
    <xf numFmtId="0" fontId="7" fillId="0" borderId="0" xfId="0" applyFont="1" applyAlignment="1">
      <alignment horizontal="center"/>
    </xf>
    <xf numFmtId="1" fontId="7" fillId="0" borderId="1" xfId="0" applyNumberFormat="1" applyFont="1" applyBorder="1"/>
    <xf numFmtId="0" fontId="8" fillId="0" borderId="1" xfId="0" applyFont="1" applyBorder="1"/>
    <xf numFmtId="1" fontId="4" fillId="10" borderId="0" xfId="0" applyNumberFormat="1" applyFont="1" applyFill="1"/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5" xfId="0" applyBorder="1"/>
    <xf numFmtId="1" fontId="2" fillId="0" borderId="1" xfId="0" applyNumberFormat="1" applyFont="1" applyBorder="1"/>
    <xf numFmtId="0" fontId="0" fillId="0" borderId="3" xfId="0" applyBorder="1"/>
    <xf numFmtId="16" fontId="0" fillId="0" borderId="0" xfId="0" applyNumberFormat="1"/>
    <xf numFmtId="0" fontId="0" fillId="0" borderId="4" xfId="0" applyBorder="1"/>
    <xf numFmtId="0" fontId="5" fillId="0" borderId="4" xfId="0" applyFont="1" applyBorder="1"/>
    <xf numFmtId="1" fontId="2" fillId="0" borderId="4" xfId="0" applyNumberFormat="1" applyFont="1" applyBorder="1"/>
    <xf numFmtId="0" fontId="4" fillId="5" borderId="3" xfId="0" applyFont="1" applyFill="1" applyBorder="1"/>
    <xf numFmtId="1" fontId="4" fillId="5" borderId="1" xfId="0" applyNumberFormat="1" applyFont="1" applyFill="1" applyBorder="1"/>
    <xf numFmtId="0" fontId="4" fillId="5" borderId="0" xfId="0" applyFont="1" applyFill="1"/>
    <xf numFmtId="0" fontId="2" fillId="5" borderId="0" xfId="0" applyFont="1" applyFill="1"/>
    <xf numFmtId="0" fontId="0" fillId="5" borderId="0" xfId="0" applyFill="1"/>
    <xf numFmtId="0" fontId="0" fillId="5" borderId="1" xfId="0" applyFill="1" applyBorder="1"/>
    <xf numFmtId="0" fontId="2" fillId="5" borderId="1" xfId="0" applyFont="1" applyFill="1" applyBorder="1"/>
    <xf numFmtId="0" fontId="4" fillId="3" borderId="1" xfId="0" applyFont="1" applyFill="1" applyBorder="1"/>
    <xf numFmtId="0" fontId="0" fillId="5" borderId="4" xfId="0" applyFill="1" applyBorder="1"/>
    <xf numFmtId="0" fontId="0" fillId="0" borderId="1" xfId="0" applyBorder="1" applyAlignment="1">
      <alignment horizontal="center"/>
    </xf>
    <xf numFmtId="0" fontId="1" fillId="5" borderId="1" xfId="0" applyFont="1" applyFill="1" applyBorder="1"/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0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2D18-5D3E-48D5-9A53-97B3FC5EA6B9}">
  <sheetPr>
    <pageSetUpPr fitToPage="1"/>
  </sheetPr>
  <dimension ref="A1:U79"/>
  <sheetViews>
    <sheetView topLeftCell="A37" zoomScale="115" zoomScaleNormal="115" workbookViewId="0">
      <selection activeCell="C54" sqref="C54"/>
    </sheetView>
  </sheetViews>
  <sheetFormatPr baseColWidth="10" defaultRowHeight="14.5" x14ac:dyDescent="0.35"/>
  <cols>
    <col min="1" max="1" width="33.81640625" bestFit="1" customWidth="1"/>
    <col min="2" max="3" width="10.90625" customWidth="1"/>
    <col min="4" max="4" width="16.90625" customWidth="1"/>
    <col min="5" max="6" width="10.90625" customWidth="1"/>
    <col min="7" max="7" width="15" customWidth="1"/>
    <col min="8" max="10" width="10.90625" customWidth="1"/>
    <col min="13" max="13" width="33.81640625" bestFit="1" customWidth="1"/>
    <col min="16" max="16" width="10.90625" customWidth="1"/>
    <col min="18" max="18" width="10.90625" customWidth="1"/>
  </cols>
  <sheetData>
    <row r="1" spans="1:10" x14ac:dyDescent="0.35">
      <c r="A1" t="s">
        <v>0</v>
      </c>
    </row>
    <row r="4" spans="1:10" x14ac:dyDescent="0.35">
      <c r="A4" s="1"/>
      <c r="B4" s="1"/>
      <c r="C4" s="1"/>
      <c r="D4" s="1"/>
      <c r="E4" s="2"/>
    </row>
    <row r="5" spans="1:10" x14ac:dyDescent="0.35">
      <c r="A5" s="1"/>
      <c r="B5" s="1"/>
      <c r="C5" s="1" t="s">
        <v>27</v>
      </c>
      <c r="D5" t="s">
        <v>46</v>
      </c>
      <c r="E5" s="2"/>
    </row>
    <row r="6" spans="1:10" x14ac:dyDescent="0.35">
      <c r="A6">
        <v>2023</v>
      </c>
      <c r="C6" t="s">
        <v>26</v>
      </c>
      <c r="D6" t="s">
        <v>31</v>
      </c>
      <c r="E6" s="2" t="s">
        <v>1</v>
      </c>
    </row>
    <row r="7" spans="1:10" x14ac:dyDescent="0.35">
      <c r="A7" s="12" t="s">
        <v>2</v>
      </c>
      <c r="B7" s="12"/>
      <c r="C7" s="12"/>
      <c r="D7" s="12">
        <v>1514</v>
      </c>
      <c r="E7" s="4">
        <f t="shared" ref="E7:E24" si="0">(D7-(D7/228*5))*0.99/0.75</f>
        <v>1954.6536842105263</v>
      </c>
      <c r="I7" s="4"/>
      <c r="J7" s="2"/>
    </row>
    <row r="8" spans="1:10" x14ac:dyDescent="0.35">
      <c r="A8" s="3" t="s">
        <v>3</v>
      </c>
      <c r="B8" s="3"/>
      <c r="C8" s="3"/>
      <c r="D8" s="15">
        <v>1540</v>
      </c>
      <c r="E8" s="5">
        <f t="shared" si="0"/>
        <v>1988.2210526315791</v>
      </c>
      <c r="I8" s="4"/>
      <c r="J8" s="2"/>
    </row>
    <row r="9" spans="1:10" x14ac:dyDescent="0.35">
      <c r="A9" s="3" t="s">
        <v>4</v>
      </c>
      <c r="B9" s="3"/>
      <c r="C9" s="3">
        <v>4261</v>
      </c>
      <c r="D9" s="6">
        <f>C9-H27</f>
        <v>3835.43</v>
      </c>
      <c r="E9" s="4">
        <f t="shared" si="0"/>
        <v>4951.7419947368417</v>
      </c>
      <c r="F9" t="s">
        <v>5</v>
      </c>
      <c r="I9" s="4"/>
      <c r="J9" s="2"/>
    </row>
    <row r="10" spans="1:10" x14ac:dyDescent="0.35">
      <c r="A10" s="3" t="s">
        <v>6</v>
      </c>
      <c r="B10" s="3"/>
      <c r="C10" s="3"/>
      <c r="D10" s="15">
        <v>1940</v>
      </c>
      <c r="E10" s="4">
        <f t="shared" si="0"/>
        <v>2504.6421052631581</v>
      </c>
      <c r="I10" s="4"/>
      <c r="J10" s="2"/>
    </row>
    <row r="11" spans="1:10" x14ac:dyDescent="0.35">
      <c r="A11" s="3" t="s">
        <v>7</v>
      </c>
      <c r="B11" s="3"/>
      <c r="C11" s="3"/>
      <c r="D11" s="15">
        <v>2506</v>
      </c>
      <c r="E11" s="4">
        <f t="shared" si="0"/>
        <v>3235.3778947368414</v>
      </c>
      <c r="I11" s="4"/>
      <c r="J11" s="2"/>
    </row>
    <row r="12" spans="1:10" x14ac:dyDescent="0.35">
      <c r="A12" s="3" t="s">
        <v>8</v>
      </c>
      <c r="B12" s="3"/>
      <c r="C12" s="3"/>
      <c r="D12" s="15">
        <v>2374</v>
      </c>
      <c r="E12" s="4">
        <f t="shared" si="0"/>
        <v>3064.9589473684209</v>
      </c>
      <c r="I12" s="4"/>
      <c r="J12" s="2"/>
    </row>
    <row r="13" spans="1:10" x14ac:dyDescent="0.35">
      <c r="A13" s="3" t="s">
        <v>9</v>
      </c>
      <c r="B13" s="3"/>
      <c r="C13" s="3">
        <v>11564</v>
      </c>
      <c r="D13" s="6">
        <f>C13-K27</f>
        <v>10287.290000000001</v>
      </c>
      <c r="E13" s="4">
        <f t="shared" si="0"/>
        <v>13281.432826315789</v>
      </c>
      <c r="F13" t="s">
        <v>5</v>
      </c>
      <c r="I13" s="4"/>
      <c r="J13" s="2"/>
    </row>
    <row r="14" spans="1:10" x14ac:dyDescent="0.35">
      <c r="A14" s="12" t="s">
        <v>10</v>
      </c>
      <c r="B14" s="12"/>
      <c r="C14" s="12">
        <v>5446</v>
      </c>
      <c r="D14" s="37">
        <f>C14-E29</f>
        <v>5167.6000000000004</v>
      </c>
      <c r="E14" s="4">
        <f t="shared" si="0"/>
        <v>6671.643578947369</v>
      </c>
      <c r="F14" t="s">
        <v>5</v>
      </c>
      <c r="I14" s="4"/>
      <c r="J14" s="2"/>
    </row>
    <row r="15" spans="1:10" x14ac:dyDescent="0.35">
      <c r="A15" s="40" t="s">
        <v>11</v>
      </c>
      <c r="B15" s="3"/>
      <c r="C15" s="3">
        <v>10944</v>
      </c>
      <c r="D15" s="38">
        <f>C15-E32</f>
        <v>10615.68</v>
      </c>
      <c r="E15" s="4">
        <f t="shared" si="0"/>
        <v>13705.401600000003</v>
      </c>
      <c r="F15" t="s">
        <v>5</v>
      </c>
      <c r="I15" s="4"/>
      <c r="J15" s="2"/>
    </row>
    <row r="16" spans="1:10" x14ac:dyDescent="0.35">
      <c r="A16" s="3" t="s">
        <v>12</v>
      </c>
      <c r="B16" s="3"/>
      <c r="C16" s="3"/>
      <c r="D16" s="15">
        <v>1606</v>
      </c>
      <c r="E16" s="4">
        <f t="shared" si="0"/>
        <v>2073.4305263157894</v>
      </c>
      <c r="I16" s="4"/>
      <c r="J16" s="2"/>
    </row>
    <row r="17" spans="1:11" x14ac:dyDescent="0.35">
      <c r="A17" s="3" t="s">
        <v>13</v>
      </c>
      <c r="B17" s="3"/>
      <c r="C17" s="3"/>
      <c r="D17" s="15">
        <v>684</v>
      </c>
      <c r="E17" s="4">
        <f t="shared" si="0"/>
        <v>883.07999999999993</v>
      </c>
      <c r="I17" s="4"/>
      <c r="J17" s="2"/>
    </row>
    <row r="18" spans="1:11" x14ac:dyDescent="0.35">
      <c r="A18" s="3" t="s">
        <v>14</v>
      </c>
      <c r="B18" s="3"/>
      <c r="C18" s="3"/>
      <c r="D18" s="15">
        <v>1734</v>
      </c>
      <c r="E18" s="4">
        <f t="shared" si="0"/>
        <v>2238.6852631578945</v>
      </c>
      <c r="I18" s="4"/>
      <c r="J18" s="2"/>
    </row>
    <row r="19" spans="1:11" x14ac:dyDescent="0.35">
      <c r="A19" s="3" t="s">
        <v>15</v>
      </c>
      <c r="B19" s="3"/>
      <c r="C19" s="3"/>
      <c r="D19" s="15">
        <v>2084</v>
      </c>
      <c r="E19" s="4">
        <f t="shared" si="0"/>
        <v>2690.5536842105262</v>
      </c>
      <c r="I19" s="4"/>
      <c r="J19" s="2"/>
    </row>
    <row r="20" spans="1:11" x14ac:dyDescent="0.35">
      <c r="A20" s="3" t="s">
        <v>16</v>
      </c>
      <c r="B20" s="3"/>
      <c r="C20" s="3"/>
      <c r="D20" s="15">
        <v>2402</v>
      </c>
      <c r="E20" s="4">
        <f t="shared" si="0"/>
        <v>3101.1084210526315</v>
      </c>
      <c r="I20" s="4"/>
      <c r="J20" s="2"/>
    </row>
    <row r="21" spans="1:11" x14ac:dyDescent="0.35">
      <c r="A21" s="3" t="s">
        <v>17</v>
      </c>
      <c r="B21" s="3"/>
      <c r="C21" s="3"/>
      <c r="D21" s="15">
        <v>1142</v>
      </c>
      <c r="E21" s="4">
        <f t="shared" si="0"/>
        <v>1474.3821052631577</v>
      </c>
      <c r="I21" s="4"/>
      <c r="J21" s="2"/>
    </row>
    <row r="22" spans="1:11" x14ac:dyDescent="0.35">
      <c r="A22" s="3" t="s">
        <v>18</v>
      </c>
      <c r="B22" s="3"/>
      <c r="C22" s="3"/>
      <c r="D22" s="15">
        <v>5370</v>
      </c>
      <c r="E22" s="4">
        <f t="shared" si="0"/>
        <v>6932.9526315789481</v>
      </c>
      <c r="I22" s="4"/>
      <c r="J22" s="2"/>
    </row>
    <row r="23" spans="1:11" x14ac:dyDescent="0.35">
      <c r="A23" s="3" t="s">
        <v>19</v>
      </c>
      <c r="B23" s="3"/>
      <c r="C23" s="3"/>
      <c r="D23" s="15">
        <v>1526</v>
      </c>
      <c r="E23" s="4">
        <f t="shared" si="0"/>
        <v>1970.1463157894734</v>
      </c>
      <c r="I23" s="4"/>
      <c r="J23" s="2"/>
    </row>
    <row r="24" spans="1:11" x14ac:dyDescent="0.35">
      <c r="A24" s="3" t="s">
        <v>20</v>
      </c>
      <c r="B24" s="3"/>
      <c r="C24" s="3"/>
      <c r="D24" s="15">
        <v>1824</v>
      </c>
      <c r="E24" s="4">
        <f t="shared" si="0"/>
        <v>2354.88</v>
      </c>
      <c r="I24" s="4"/>
      <c r="J24" s="2"/>
    </row>
    <row r="25" spans="1:11" x14ac:dyDescent="0.35">
      <c r="E25" s="8">
        <f>SUM(E7:E24)</f>
        <v>75077.292631578966</v>
      </c>
      <c r="I25" s="9"/>
      <c r="J25" s="9"/>
    </row>
    <row r="26" spans="1:11" x14ac:dyDescent="0.35">
      <c r="E26" s="2" t="s">
        <v>70</v>
      </c>
    </row>
    <row r="27" spans="1:11" x14ac:dyDescent="0.35">
      <c r="A27" s="16" t="s">
        <v>21</v>
      </c>
      <c r="B27" s="16"/>
      <c r="C27" s="16"/>
      <c r="D27" s="16">
        <f>D24+D23+D22+D21+D20+D19+D18+D17+D16+C13+D12+D11+D10+C9+D8</f>
        <v>42557</v>
      </c>
      <c r="E27" s="17">
        <f>D27*0.04</f>
        <v>1702.28</v>
      </c>
      <c r="G27" s="10" t="s">
        <v>22</v>
      </c>
      <c r="H27">
        <f>E27*0.25</f>
        <v>425.57</v>
      </c>
      <c r="I27" s="10" t="s">
        <v>23</v>
      </c>
      <c r="J27" s="10"/>
      <c r="K27">
        <f>E27*0.75</f>
        <v>1276.71</v>
      </c>
    </row>
    <row r="28" spans="1:11" x14ac:dyDescent="0.35">
      <c r="A28" s="16"/>
      <c r="B28" s="16"/>
      <c r="C28" s="16"/>
      <c r="D28" s="16"/>
      <c r="E28" s="17"/>
      <c r="G28" s="10"/>
      <c r="I28" s="10"/>
      <c r="J28" s="10"/>
    </row>
    <row r="29" spans="1:11" x14ac:dyDescent="0.35">
      <c r="A29" s="35" t="s">
        <v>24</v>
      </c>
      <c r="B29" s="35"/>
      <c r="C29" s="35"/>
      <c r="D29" s="35">
        <f>C14+D7</f>
        <v>6960</v>
      </c>
      <c r="E29" s="36">
        <f>D29*0.04</f>
        <v>278.40000000000003</v>
      </c>
    </row>
    <row r="30" spans="1:11" x14ac:dyDescent="0.35">
      <c r="E30" s="2"/>
      <c r="G30" t="s">
        <v>47</v>
      </c>
    </row>
    <row r="31" spans="1:11" x14ac:dyDescent="0.35">
      <c r="E31" s="2" t="s">
        <v>71</v>
      </c>
      <c r="G31" t="s">
        <v>22</v>
      </c>
    </row>
    <row r="32" spans="1:11" x14ac:dyDescent="0.35">
      <c r="A32" s="39" t="s">
        <v>25</v>
      </c>
      <c r="B32" s="1"/>
      <c r="C32" s="1"/>
      <c r="D32" s="39">
        <f>C15</f>
        <v>10944</v>
      </c>
      <c r="E32" s="11">
        <f>D32*0.03</f>
        <v>328.32</v>
      </c>
      <c r="G32" t="s">
        <v>23</v>
      </c>
    </row>
    <row r="33" spans="1:21" x14ac:dyDescent="0.35">
      <c r="E33" s="2"/>
      <c r="G33" t="s">
        <v>48</v>
      </c>
      <c r="H33">
        <v>220</v>
      </c>
    </row>
    <row r="34" spans="1:21" x14ac:dyDescent="0.35">
      <c r="E34" s="2"/>
      <c r="G34" t="s">
        <v>49</v>
      </c>
      <c r="H34">
        <v>180</v>
      </c>
    </row>
    <row r="35" spans="1:21" x14ac:dyDescent="0.35">
      <c r="E35" s="2"/>
    </row>
    <row r="36" spans="1:21" x14ac:dyDescent="0.35">
      <c r="C36" s="2"/>
      <c r="K36" s="21" t="s">
        <v>50</v>
      </c>
      <c r="N36" t="s">
        <v>51</v>
      </c>
    </row>
    <row r="37" spans="1:21" x14ac:dyDescent="0.35">
      <c r="C37" s="2"/>
      <c r="G37" s="22" t="s">
        <v>52</v>
      </c>
      <c r="H37" t="s">
        <v>73</v>
      </c>
      <c r="I37" s="22" t="s">
        <v>52</v>
      </c>
      <c r="J37" s="22"/>
      <c r="K37" t="s">
        <v>53</v>
      </c>
      <c r="N37" t="s">
        <v>54</v>
      </c>
      <c r="T37" t="s">
        <v>80</v>
      </c>
    </row>
    <row r="38" spans="1:21" x14ac:dyDescent="0.35">
      <c r="A38" t="s">
        <v>55</v>
      </c>
      <c r="B38" t="s">
        <v>28</v>
      </c>
      <c r="C38" t="s">
        <v>29</v>
      </c>
      <c r="D38" s="23" t="s">
        <v>56</v>
      </c>
      <c r="E38" t="s">
        <v>57</v>
      </c>
      <c r="F38" s="24" t="s">
        <v>58</v>
      </c>
      <c r="G38" s="25" t="s">
        <v>74</v>
      </c>
      <c r="H38" s="24" t="s">
        <v>72</v>
      </c>
      <c r="I38" s="25" t="s">
        <v>59</v>
      </c>
      <c r="J38" s="25"/>
      <c r="K38" s="22" t="s">
        <v>60</v>
      </c>
      <c r="L38" s="25" t="s">
        <v>83</v>
      </c>
      <c r="M38" t="s">
        <v>55</v>
      </c>
      <c r="N38" t="s">
        <v>61</v>
      </c>
      <c r="O38" t="s">
        <v>75</v>
      </c>
      <c r="Q38" t="s">
        <v>111</v>
      </c>
      <c r="S38" t="s">
        <v>79</v>
      </c>
    </row>
    <row r="39" spans="1:21" x14ac:dyDescent="0.35">
      <c r="A39" s="26" t="s">
        <v>2</v>
      </c>
      <c r="B39" s="3">
        <v>1514</v>
      </c>
      <c r="C39" s="13">
        <v>1514</v>
      </c>
      <c r="D39" s="3"/>
      <c r="E39" s="4"/>
      <c r="F39" s="4">
        <f>D39+E39</f>
        <v>0</v>
      </c>
      <c r="G39" s="3">
        <f t="shared" ref="G39:G56" si="1">C39-F39</f>
        <v>1514</v>
      </c>
      <c r="H39" s="3">
        <f>G39/228*3</f>
        <v>19.921052631578949</v>
      </c>
      <c r="I39" s="3">
        <f>G39-H39</f>
        <v>1494.078947368421</v>
      </c>
      <c r="J39" s="3">
        <f>I39/0.75</f>
        <v>1992.1052631578948</v>
      </c>
      <c r="K39" s="27">
        <f>G39*0.97/0.75</f>
        <v>1958.1066666666666</v>
      </c>
      <c r="M39" s="26" t="s">
        <v>2</v>
      </c>
      <c r="N39" s="4">
        <v>1958.1066666666666</v>
      </c>
      <c r="O39" s="3"/>
      <c r="Q39">
        <v>1869</v>
      </c>
      <c r="S39" s="45">
        <f>N39-Q39</f>
        <v>89.10666666666657</v>
      </c>
      <c r="U39">
        <v>90</v>
      </c>
    </row>
    <row r="40" spans="1:21" x14ac:dyDescent="0.35">
      <c r="A40" s="28" t="s">
        <v>3</v>
      </c>
      <c r="B40" s="3">
        <v>1540</v>
      </c>
      <c r="C40" s="13">
        <v>1540</v>
      </c>
      <c r="D40" s="3"/>
      <c r="E40" s="4"/>
      <c r="F40" s="4">
        <f t="shared" ref="F40:F56" si="2">D40+E40</f>
        <v>0</v>
      </c>
      <c r="G40" s="3">
        <f t="shared" si="1"/>
        <v>1540</v>
      </c>
      <c r="H40" s="3">
        <f t="shared" ref="H40:H56" si="3">G40/228*3</f>
        <v>20.263157894736842</v>
      </c>
      <c r="I40" s="3">
        <f t="shared" ref="I40:I56" si="4">G40-H40</f>
        <v>1519.7368421052631</v>
      </c>
      <c r="J40" s="3">
        <f t="shared" ref="J40:J56" si="5">I40/0.75</f>
        <v>2026.3157894736842</v>
      </c>
      <c r="K40" s="27">
        <f>G40*0.97/0.75</f>
        <v>1991.7333333333333</v>
      </c>
      <c r="M40" s="28" t="s">
        <v>3</v>
      </c>
      <c r="N40" s="4">
        <v>1991.7333333333333</v>
      </c>
      <c r="O40" s="3"/>
      <c r="Q40">
        <v>1799</v>
      </c>
      <c r="S40" s="45">
        <f>N40-Q40</f>
        <v>192.73333333333335</v>
      </c>
    </row>
    <row r="41" spans="1:21" x14ac:dyDescent="0.35">
      <c r="A41" s="46" t="s">
        <v>4</v>
      </c>
      <c r="B41" s="3">
        <v>4261</v>
      </c>
      <c r="C41" s="13">
        <v>4261</v>
      </c>
      <c r="D41" s="29">
        <v>456</v>
      </c>
      <c r="E41" s="14">
        <v>456</v>
      </c>
      <c r="F41" s="4">
        <f t="shared" si="2"/>
        <v>912</v>
      </c>
      <c r="G41" s="3">
        <f t="shared" si="1"/>
        <v>3349</v>
      </c>
      <c r="H41" s="3">
        <f t="shared" si="3"/>
        <v>44.065789473684212</v>
      </c>
      <c r="I41" s="3">
        <f t="shared" si="4"/>
        <v>3304.9342105263158</v>
      </c>
      <c r="J41" s="3">
        <f t="shared" si="5"/>
        <v>4406.5789473684208</v>
      </c>
      <c r="K41" s="27">
        <f>G41*0.97/0.75</f>
        <v>4331.373333333333</v>
      </c>
      <c r="M41" s="28" t="s">
        <v>4</v>
      </c>
      <c r="N41" s="4">
        <v>4036.4933333333333</v>
      </c>
      <c r="O41" s="3"/>
      <c r="Q41">
        <v>3399</v>
      </c>
      <c r="S41" s="9">
        <f t="shared" ref="S41:S56" si="6">N41-Q41</f>
        <v>637.49333333333334</v>
      </c>
    </row>
    <row r="42" spans="1:21" x14ac:dyDescent="0.35">
      <c r="A42" s="28" t="s">
        <v>6</v>
      </c>
      <c r="B42" s="3">
        <v>1940</v>
      </c>
      <c r="C42" s="13">
        <v>1940</v>
      </c>
      <c r="D42" s="3"/>
      <c r="E42" s="4"/>
      <c r="F42" s="4">
        <f t="shared" si="2"/>
        <v>0</v>
      </c>
      <c r="G42" s="3">
        <f t="shared" si="1"/>
        <v>1940</v>
      </c>
      <c r="H42" s="3">
        <f t="shared" si="3"/>
        <v>25.526315789473685</v>
      </c>
      <c r="I42" s="3">
        <f t="shared" si="4"/>
        <v>1914.4736842105262</v>
      </c>
      <c r="J42" s="3">
        <f t="shared" si="5"/>
        <v>2552.6315789473683</v>
      </c>
      <c r="K42" s="27">
        <f>G42*0.97/0.75</f>
        <v>2509.0666666666666</v>
      </c>
      <c r="M42" s="28" t="s">
        <v>6</v>
      </c>
      <c r="N42" s="4">
        <v>2509.0666666666666</v>
      </c>
      <c r="O42" s="3"/>
      <c r="Q42">
        <v>2262</v>
      </c>
      <c r="S42" s="9">
        <f t="shared" si="6"/>
        <v>247.06666666666661</v>
      </c>
    </row>
    <row r="43" spans="1:21" x14ac:dyDescent="0.35">
      <c r="A43" s="46" t="s">
        <v>7</v>
      </c>
      <c r="B43" s="3">
        <v>2506</v>
      </c>
      <c r="C43" s="13">
        <v>2506</v>
      </c>
      <c r="D43" s="3"/>
      <c r="E43" s="4"/>
      <c r="F43" s="4">
        <f t="shared" si="2"/>
        <v>0</v>
      </c>
      <c r="G43" s="3">
        <f t="shared" si="1"/>
        <v>2506</v>
      </c>
      <c r="H43" s="3">
        <f t="shared" si="3"/>
        <v>32.973684210526315</v>
      </c>
      <c r="I43" s="3">
        <f t="shared" si="4"/>
        <v>2473.0263157894738</v>
      </c>
      <c r="J43" s="42">
        <f t="shared" si="5"/>
        <v>3297.3684210526317</v>
      </c>
      <c r="K43" s="30">
        <f>G43*0.88/0.75</f>
        <v>2940.3733333333334</v>
      </c>
      <c r="M43" s="28" t="s">
        <v>112</v>
      </c>
      <c r="N43" s="4">
        <v>3200</v>
      </c>
      <c r="O43" s="3">
        <v>2940</v>
      </c>
      <c r="Q43">
        <v>2318</v>
      </c>
      <c r="S43" s="9">
        <f t="shared" si="6"/>
        <v>882</v>
      </c>
      <c r="T43" t="s">
        <v>81</v>
      </c>
    </row>
    <row r="44" spans="1:21" x14ac:dyDescent="0.35">
      <c r="A44" s="28" t="s">
        <v>8</v>
      </c>
      <c r="B44" s="3">
        <v>2374</v>
      </c>
      <c r="C44" s="13">
        <v>2374</v>
      </c>
      <c r="D44" s="3"/>
      <c r="E44" s="4"/>
      <c r="F44" s="4">
        <f t="shared" si="2"/>
        <v>0</v>
      </c>
      <c r="G44" s="3">
        <f t="shared" si="1"/>
        <v>2374</v>
      </c>
      <c r="H44" s="3">
        <f t="shared" si="3"/>
        <v>31.236842105263158</v>
      </c>
      <c r="I44" s="3">
        <f t="shared" si="4"/>
        <v>2342.7631578947367</v>
      </c>
      <c r="J44" s="42">
        <f t="shared" si="5"/>
        <v>3123.6842105263154</v>
      </c>
      <c r="K44" s="30">
        <f>G44*0.88/0.75</f>
        <v>2785.4933333333333</v>
      </c>
      <c r="M44" s="28" t="s">
        <v>8</v>
      </c>
      <c r="N44" s="4">
        <v>3200</v>
      </c>
      <c r="O44" s="3">
        <v>2785</v>
      </c>
      <c r="Q44">
        <v>2487</v>
      </c>
      <c r="S44" s="59">
        <f t="shared" si="6"/>
        <v>713</v>
      </c>
      <c r="T44" t="s">
        <v>81</v>
      </c>
    </row>
    <row r="45" spans="1:21" x14ac:dyDescent="0.35">
      <c r="A45" s="46" t="s">
        <v>9</v>
      </c>
      <c r="B45" s="3">
        <v>11564</v>
      </c>
      <c r="C45" s="13">
        <v>11564</v>
      </c>
      <c r="D45" s="3"/>
      <c r="E45" s="14">
        <v>456</v>
      </c>
      <c r="F45" s="4">
        <f t="shared" si="2"/>
        <v>456</v>
      </c>
      <c r="G45" s="3">
        <f t="shared" si="1"/>
        <v>11108</v>
      </c>
      <c r="H45" s="3">
        <f t="shared" si="3"/>
        <v>146.15789473684211</v>
      </c>
      <c r="I45" s="3">
        <f t="shared" si="4"/>
        <v>10961.842105263158</v>
      </c>
      <c r="J45" s="3">
        <f t="shared" si="5"/>
        <v>14615.789473684212</v>
      </c>
      <c r="K45" s="27">
        <f t="shared" ref="K45:K50" si="7">G45*0.97/0.75</f>
        <v>14366.346666666666</v>
      </c>
      <c r="M45" s="28" t="s">
        <v>9</v>
      </c>
      <c r="N45" s="4">
        <v>14366.346666666666</v>
      </c>
      <c r="O45" s="3"/>
      <c r="Q45">
        <v>10600</v>
      </c>
      <c r="S45" s="59">
        <f t="shared" si="6"/>
        <v>3766.3466666666664</v>
      </c>
    </row>
    <row r="46" spans="1:21" x14ac:dyDescent="0.35">
      <c r="A46" s="26" t="s">
        <v>10</v>
      </c>
      <c r="B46" s="3">
        <v>5446</v>
      </c>
      <c r="C46" s="13">
        <v>5446</v>
      </c>
      <c r="D46" s="29">
        <v>180</v>
      </c>
      <c r="E46" s="41">
        <v>0</v>
      </c>
      <c r="F46" s="4">
        <f t="shared" si="2"/>
        <v>180</v>
      </c>
      <c r="G46" s="3">
        <f t="shared" si="1"/>
        <v>5266</v>
      </c>
      <c r="H46" s="3">
        <f t="shared" si="3"/>
        <v>69.28947368421052</v>
      </c>
      <c r="I46" s="3">
        <f t="shared" si="4"/>
        <v>5196.7105263157891</v>
      </c>
      <c r="J46" s="3">
        <f t="shared" si="5"/>
        <v>6928.9473684210525</v>
      </c>
      <c r="K46" s="27">
        <f t="shared" si="7"/>
        <v>6810.6933333333327</v>
      </c>
      <c r="M46" s="26" t="s">
        <v>10</v>
      </c>
      <c r="N46" s="4">
        <v>6526.16</v>
      </c>
      <c r="O46" s="3"/>
      <c r="Q46">
        <v>6261</v>
      </c>
      <c r="S46" s="45">
        <f t="shared" si="6"/>
        <v>265.15999999999985</v>
      </c>
      <c r="U46">
        <v>500</v>
      </c>
    </row>
    <row r="47" spans="1:21" x14ac:dyDescent="0.35">
      <c r="A47" s="47" t="s">
        <v>11</v>
      </c>
      <c r="B47" s="3">
        <v>10944</v>
      </c>
      <c r="C47" s="13">
        <v>10944</v>
      </c>
      <c r="D47" s="29">
        <v>220</v>
      </c>
      <c r="E47" s="4"/>
      <c r="F47" s="4">
        <f t="shared" si="2"/>
        <v>220</v>
      </c>
      <c r="G47" s="3">
        <f t="shared" si="1"/>
        <v>10724</v>
      </c>
      <c r="H47" s="3">
        <f t="shared" si="3"/>
        <v>141.10526315789474</v>
      </c>
      <c r="I47" s="3">
        <f t="shared" si="4"/>
        <v>10582.894736842105</v>
      </c>
      <c r="J47" s="3">
        <f t="shared" si="5"/>
        <v>14110.526315789473</v>
      </c>
      <c r="K47" s="27">
        <f t="shared" si="7"/>
        <v>13869.706666666665</v>
      </c>
      <c r="M47" s="7" t="s">
        <v>11</v>
      </c>
      <c r="N47" s="4">
        <v>13869.706666666665</v>
      </c>
      <c r="O47" s="3" t="s">
        <v>62</v>
      </c>
      <c r="Q47">
        <v>10331</v>
      </c>
      <c r="S47" s="59">
        <f t="shared" si="6"/>
        <v>3538.7066666666651</v>
      </c>
    </row>
    <row r="48" spans="1:21" x14ac:dyDescent="0.35">
      <c r="A48" s="28" t="s">
        <v>12</v>
      </c>
      <c r="B48" s="3">
        <v>1606</v>
      </c>
      <c r="C48" s="13">
        <v>1606</v>
      </c>
      <c r="D48" s="3"/>
      <c r="E48" s="4"/>
      <c r="F48" s="4">
        <f t="shared" si="2"/>
        <v>0</v>
      </c>
      <c r="G48" s="3">
        <f t="shared" si="1"/>
        <v>1606</v>
      </c>
      <c r="H48" s="3">
        <f t="shared" si="3"/>
        <v>21.131578947368421</v>
      </c>
      <c r="I48" s="3">
        <f t="shared" si="4"/>
        <v>1584.8684210526317</v>
      </c>
      <c r="J48" s="3">
        <f t="shared" si="5"/>
        <v>2113.1578947368421</v>
      </c>
      <c r="K48" s="27">
        <f t="shared" si="7"/>
        <v>2077.0933333333332</v>
      </c>
      <c r="M48" s="28" t="s">
        <v>12</v>
      </c>
      <c r="N48" s="4">
        <v>2077.0933333333332</v>
      </c>
      <c r="O48" s="3"/>
      <c r="Q48">
        <v>1736</v>
      </c>
      <c r="S48" s="9">
        <f t="shared" si="6"/>
        <v>341.09333333333325</v>
      </c>
    </row>
    <row r="49" spans="1:20" x14ac:dyDescent="0.35">
      <c r="A49" s="46" t="s">
        <v>13</v>
      </c>
      <c r="B49" s="3">
        <v>684</v>
      </c>
      <c r="C49" s="13">
        <v>684</v>
      </c>
      <c r="D49" s="3"/>
      <c r="E49" s="4"/>
      <c r="F49" s="4">
        <f t="shared" si="2"/>
        <v>0</v>
      </c>
      <c r="G49" s="3">
        <f t="shared" si="1"/>
        <v>684</v>
      </c>
      <c r="H49" s="3">
        <f t="shared" si="3"/>
        <v>9</v>
      </c>
      <c r="I49" s="3">
        <f t="shared" si="4"/>
        <v>675</v>
      </c>
      <c r="J49" s="3">
        <f t="shared" si="5"/>
        <v>900</v>
      </c>
      <c r="K49" s="27">
        <f t="shared" si="7"/>
        <v>884.64</v>
      </c>
      <c r="M49" s="28" t="s">
        <v>13</v>
      </c>
      <c r="N49" s="4">
        <v>884.64</v>
      </c>
      <c r="O49" s="3"/>
      <c r="Q49">
        <v>467</v>
      </c>
      <c r="S49" s="59">
        <f t="shared" si="6"/>
        <v>417.64</v>
      </c>
      <c r="T49" t="s">
        <v>81</v>
      </c>
    </row>
    <row r="50" spans="1:20" x14ac:dyDescent="0.35">
      <c r="A50" s="28" t="s">
        <v>14</v>
      </c>
      <c r="B50" s="3">
        <v>1734</v>
      </c>
      <c r="C50" s="13">
        <v>1734</v>
      </c>
      <c r="D50" s="3"/>
      <c r="E50" s="4"/>
      <c r="F50" s="4">
        <f t="shared" si="2"/>
        <v>0</v>
      </c>
      <c r="G50" s="3">
        <f t="shared" si="1"/>
        <v>1734</v>
      </c>
      <c r="H50" s="3">
        <f t="shared" si="3"/>
        <v>22.815789473684212</v>
      </c>
      <c r="I50" s="3">
        <f t="shared" si="4"/>
        <v>1711.1842105263158</v>
      </c>
      <c r="J50" s="3">
        <f t="shared" si="5"/>
        <v>2281.5789473684213</v>
      </c>
      <c r="K50" s="27">
        <f t="shared" si="7"/>
        <v>2242.64</v>
      </c>
      <c r="M50" s="28" t="s">
        <v>14</v>
      </c>
      <c r="N50" s="4">
        <v>2216.7733333333331</v>
      </c>
      <c r="O50" s="3"/>
      <c r="Q50">
        <v>1879</v>
      </c>
      <c r="S50" s="9">
        <f t="shared" si="6"/>
        <v>337.77333333333308</v>
      </c>
    </row>
    <row r="51" spans="1:20" x14ac:dyDescent="0.35">
      <c r="A51" s="28" t="s">
        <v>15</v>
      </c>
      <c r="B51" s="3">
        <v>2084</v>
      </c>
      <c r="C51" s="13">
        <v>1856</v>
      </c>
      <c r="D51" s="3"/>
      <c r="E51" s="4"/>
      <c r="F51" s="4">
        <f t="shared" si="2"/>
        <v>0</v>
      </c>
      <c r="G51" s="3">
        <f t="shared" si="1"/>
        <v>1856</v>
      </c>
      <c r="H51" s="3">
        <f t="shared" si="3"/>
        <v>24.421052631578949</v>
      </c>
      <c r="I51" s="3">
        <f t="shared" si="4"/>
        <v>1831.578947368421</v>
      </c>
      <c r="J51" s="42">
        <f t="shared" si="5"/>
        <v>2442.1052631578946</v>
      </c>
      <c r="K51" s="30">
        <f>G51*0.88/0.75</f>
        <v>2177.7066666666665</v>
      </c>
      <c r="M51" s="28" t="s">
        <v>15</v>
      </c>
      <c r="N51" s="4">
        <v>2177.7066666666665</v>
      </c>
      <c r="O51" s="3">
        <v>2200</v>
      </c>
      <c r="Q51">
        <v>2064</v>
      </c>
      <c r="S51" s="45">
        <f t="shared" si="6"/>
        <v>113.70666666666648</v>
      </c>
    </row>
    <row r="52" spans="1:20" x14ac:dyDescent="0.35">
      <c r="A52" s="28" t="s">
        <v>16</v>
      </c>
      <c r="B52" s="3">
        <v>2402</v>
      </c>
      <c r="C52" s="13">
        <v>2402</v>
      </c>
      <c r="D52" s="3"/>
      <c r="E52" s="4"/>
      <c r="F52" s="4">
        <f t="shared" si="2"/>
        <v>0</v>
      </c>
      <c r="G52" s="3">
        <f t="shared" si="1"/>
        <v>2402</v>
      </c>
      <c r="H52" s="3">
        <f t="shared" si="3"/>
        <v>31.605263157894733</v>
      </c>
      <c r="I52" s="3">
        <f t="shared" si="4"/>
        <v>2370.3947368421054</v>
      </c>
      <c r="J52" s="3">
        <f t="shared" si="5"/>
        <v>3160.5263157894738</v>
      </c>
      <c r="K52" s="27">
        <f>G52*0.97/0.75</f>
        <v>3106.5866666666666</v>
      </c>
      <c r="M52" s="28" t="s">
        <v>16</v>
      </c>
      <c r="N52" s="4">
        <v>3093.6533333333332</v>
      </c>
      <c r="O52" s="3"/>
      <c r="Q52">
        <v>2863</v>
      </c>
      <c r="S52" s="9">
        <f t="shared" si="6"/>
        <v>230.65333333333319</v>
      </c>
    </row>
    <row r="53" spans="1:20" x14ac:dyDescent="0.35">
      <c r="A53" s="28" t="s">
        <v>17</v>
      </c>
      <c r="B53" s="3">
        <v>1142</v>
      </c>
      <c r="C53" s="13">
        <v>1142</v>
      </c>
      <c r="D53" s="3"/>
      <c r="E53" s="4"/>
      <c r="F53" s="4">
        <f t="shared" si="2"/>
        <v>0</v>
      </c>
      <c r="G53" s="3">
        <f t="shared" si="1"/>
        <v>1142</v>
      </c>
      <c r="H53" s="3">
        <f t="shared" si="3"/>
        <v>15.026315789473685</v>
      </c>
      <c r="I53" s="3">
        <f t="shared" si="4"/>
        <v>1126.9736842105262</v>
      </c>
      <c r="J53" s="3">
        <f t="shared" si="5"/>
        <v>1502.6315789473683</v>
      </c>
      <c r="K53" s="27">
        <f>G53*0.97/0.75</f>
        <v>1476.9866666666667</v>
      </c>
      <c r="M53" s="28" t="s">
        <v>17</v>
      </c>
      <c r="N53" s="4">
        <v>1476.9866666666667</v>
      </c>
      <c r="O53" s="3"/>
      <c r="Q53">
        <v>1345</v>
      </c>
      <c r="S53" s="45">
        <f t="shared" si="6"/>
        <v>131.98666666666668</v>
      </c>
    </row>
    <row r="54" spans="1:20" x14ac:dyDescent="0.35">
      <c r="A54" s="46" t="s">
        <v>18</v>
      </c>
      <c r="B54" s="3">
        <v>5598</v>
      </c>
      <c r="C54" s="13">
        <v>5370</v>
      </c>
      <c r="D54" s="3"/>
      <c r="E54" s="4"/>
      <c r="F54" s="4">
        <f t="shared" si="2"/>
        <v>0</v>
      </c>
      <c r="G54" s="3">
        <f t="shared" si="1"/>
        <v>5370</v>
      </c>
      <c r="H54" s="3">
        <f t="shared" si="3"/>
        <v>70.65789473684211</v>
      </c>
      <c r="I54" s="3">
        <f t="shared" si="4"/>
        <v>5299.3421052631575</v>
      </c>
      <c r="J54" s="3">
        <f t="shared" si="5"/>
        <v>7065.78947368421</v>
      </c>
      <c r="K54" s="27">
        <f>G54*0.97/0.75</f>
        <v>6945.2</v>
      </c>
      <c r="M54" s="28" t="s">
        <v>18</v>
      </c>
      <c r="N54" s="4">
        <v>6945.2</v>
      </c>
      <c r="O54" s="3"/>
      <c r="Q54">
        <v>5376</v>
      </c>
      <c r="S54" s="59">
        <f t="shared" si="6"/>
        <v>1569.1999999999998</v>
      </c>
      <c r="T54" t="s">
        <v>81</v>
      </c>
    </row>
    <row r="55" spans="1:20" x14ac:dyDescent="0.35">
      <c r="A55" s="46" t="s">
        <v>19</v>
      </c>
      <c r="B55" s="3">
        <v>1526</v>
      </c>
      <c r="C55" s="13">
        <v>1526</v>
      </c>
      <c r="D55" s="3"/>
      <c r="E55" s="4"/>
      <c r="F55" s="4">
        <f t="shared" si="2"/>
        <v>0</v>
      </c>
      <c r="G55" s="3">
        <f t="shared" si="1"/>
        <v>1526</v>
      </c>
      <c r="H55" s="3">
        <f t="shared" si="3"/>
        <v>20.078947368421055</v>
      </c>
      <c r="I55" s="3">
        <f t="shared" si="4"/>
        <v>1505.921052631579</v>
      </c>
      <c r="J55" s="3">
        <f t="shared" si="5"/>
        <v>2007.8947368421052</v>
      </c>
      <c r="K55" s="27">
        <f>G55*0.97/0.75</f>
        <v>1973.6266666666668</v>
      </c>
      <c r="M55" s="28" t="s">
        <v>19</v>
      </c>
      <c r="N55" s="4">
        <v>1973.6266666666668</v>
      </c>
      <c r="O55" s="3"/>
      <c r="Q55">
        <v>1014</v>
      </c>
      <c r="S55" s="59">
        <f t="shared" si="6"/>
        <v>959.62666666666678</v>
      </c>
    </row>
    <row r="56" spans="1:20" x14ac:dyDescent="0.35">
      <c r="A56" s="28" t="s">
        <v>20</v>
      </c>
      <c r="B56" s="3">
        <v>1824</v>
      </c>
      <c r="C56" s="13">
        <v>1824</v>
      </c>
      <c r="D56" s="3"/>
      <c r="E56" s="4">
        <v>20</v>
      </c>
      <c r="F56" s="4">
        <f t="shared" si="2"/>
        <v>20</v>
      </c>
      <c r="G56" s="3">
        <f t="shared" si="1"/>
        <v>1804</v>
      </c>
      <c r="H56" s="3">
        <f t="shared" si="3"/>
        <v>23.736842105263158</v>
      </c>
      <c r="I56" s="3">
        <f t="shared" si="4"/>
        <v>1780.2631578947369</v>
      </c>
      <c r="J56" s="3">
        <f t="shared" si="5"/>
        <v>2373.6842105263158</v>
      </c>
      <c r="K56" s="27">
        <f>G56*0.97/0.75</f>
        <v>2333.1733333333332</v>
      </c>
      <c r="M56" s="28" t="s">
        <v>20</v>
      </c>
      <c r="N56" s="4">
        <v>2307.3066666666668</v>
      </c>
      <c r="O56" s="3"/>
      <c r="Q56">
        <v>1988</v>
      </c>
      <c r="S56" s="9">
        <f t="shared" si="6"/>
        <v>319.30666666666684</v>
      </c>
    </row>
    <row r="57" spans="1:20" x14ac:dyDescent="0.35">
      <c r="K57" s="60"/>
    </row>
    <row r="58" spans="1:20" x14ac:dyDescent="0.35">
      <c r="C58" s="2"/>
      <c r="H58" s="31" t="s">
        <v>63</v>
      </c>
      <c r="I58" s="31"/>
      <c r="J58" s="31"/>
    </row>
    <row r="59" spans="1:20" x14ac:dyDescent="0.35">
      <c r="C59" s="2"/>
      <c r="F59" t="s">
        <v>64</v>
      </c>
      <c r="H59" s="31" t="s">
        <v>65</v>
      </c>
      <c r="I59" s="31"/>
      <c r="J59" s="31"/>
      <c r="K59" t="s">
        <v>66</v>
      </c>
    </row>
    <row r="60" spans="1:20" x14ac:dyDescent="0.35">
      <c r="A60" s="12" t="s">
        <v>67</v>
      </c>
      <c r="C60" s="12">
        <f>D29</f>
        <v>6960</v>
      </c>
      <c r="D60" s="12">
        <v>180</v>
      </c>
      <c r="E60" s="37">
        <f>E46</f>
        <v>0</v>
      </c>
      <c r="F60" s="37">
        <f>F46</f>
        <v>180</v>
      </c>
      <c r="G60" s="12"/>
      <c r="H60" s="32">
        <v>180</v>
      </c>
      <c r="I60" s="33"/>
      <c r="J60" s="33"/>
      <c r="K60" s="34">
        <f t="shared" ref="K60:K62" si="8">H60/C60</f>
        <v>2.5862068965517241E-2</v>
      </c>
    </row>
    <row r="61" spans="1:20" x14ac:dyDescent="0.35">
      <c r="A61" s="15" t="s">
        <v>68</v>
      </c>
      <c r="C61" s="15">
        <f>D27</f>
        <v>42557</v>
      </c>
      <c r="D61" s="15">
        <v>456</v>
      </c>
      <c r="E61" s="14">
        <f>E45+E41</f>
        <v>912</v>
      </c>
      <c r="F61" s="14">
        <f>F41+F45</f>
        <v>1368</v>
      </c>
      <c r="G61" s="15"/>
      <c r="H61" s="29">
        <v>1368</v>
      </c>
      <c r="I61" s="33"/>
      <c r="J61" s="33"/>
      <c r="K61" s="34">
        <f t="shared" si="8"/>
        <v>3.2145123011490473E-2</v>
      </c>
    </row>
    <row r="62" spans="1:20" x14ac:dyDescent="0.35">
      <c r="A62" s="40" t="s">
        <v>25</v>
      </c>
      <c r="C62" s="40">
        <f>D32</f>
        <v>10944</v>
      </c>
      <c r="D62" s="40">
        <v>220</v>
      </c>
      <c r="E62" s="40">
        <v>0</v>
      </c>
      <c r="F62" s="38">
        <f>F47</f>
        <v>220</v>
      </c>
      <c r="G62" s="40"/>
      <c r="H62" s="32">
        <v>220</v>
      </c>
      <c r="I62" s="33"/>
      <c r="J62" s="33"/>
      <c r="K62" s="34">
        <f t="shared" si="8"/>
        <v>2.0102339181286549E-2</v>
      </c>
    </row>
    <row r="65" spans="1:13" x14ac:dyDescent="0.35">
      <c r="A65" t="s">
        <v>44</v>
      </c>
      <c r="D65" t="s">
        <v>46</v>
      </c>
      <c r="E65" t="s">
        <v>82</v>
      </c>
      <c r="K65" t="s">
        <v>111</v>
      </c>
      <c r="M65" s="31" t="s">
        <v>78</v>
      </c>
    </row>
    <row r="66" spans="1:13" x14ac:dyDescent="0.35">
      <c r="A66">
        <v>2023</v>
      </c>
      <c r="C66" t="s">
        <v>30</v>
      </c>
      <c r="D66" t="s">
        <v>31</v>
      </c>
      <c r="E66" s="48" t="s">
        <v>1</v>
      </c>
      <c r="F66" s="48" t="s">
        <v>1</v>
      </c>
      <c r="J66" t="s">
        <v>118</v>
      </c>
      <c r="M66" s="44"/>
    </row>
    <row r="67" spans="1:13" x14ac:dyDescent="0.35">
      <c r="A67" s="18" t="s">
        <v>32</v>
      </c>
      <c r="B67" s="18"/>
      <c r="C67" s="3"/>
      <c r="D67" s="3">
        <v>2052</v>
      </c>
      <c r="E67" s="4">
        <v>2700</v>
      </c>
      <c r="F67">
        <f>(D67-J67)/0.75</f>
        <v>2700</v>
      </c>
      <c r="J67">
        <f>(D67/228)*3</f>
        <v>27</v>
      </c>
      <c r="K67">
        <v>1379</v>
      </c>
      <c r="M67" s="44">
        <f>E67-K67</f>
        <v>1321</v>
      </c>
    </row>
    <row r="68" spans="1:13" x14ac:dyDescent="0.35">
      <c r="A68" s="18" t="s">
        <v>33</v>
      </c>
      <c r="B68" s="18"/>
      <c r="C68" s="3"/>
      <c r="D68" s="3">
        <v>2052</v>
      </c>
      <c r="E68" s="4">
        <v>2700</v>
      </c>
      <c r="F68">
        <f t="shared" ref="F68:F75" si="9">(D68-J68)/0.75</f>
        <v>2700</v>
      </c>
      <c r="J68">
        <f t="shared" ref="J68:J75" si="10">(D68/228)*3</f>
        <v>27</v>
      </c>
      <c r="K68">
        <v>930</v>
      </c>
      <c r="M68" s="44">
        <f t="shared" ref="M68:M75" si="11">E68-K68</f>
        <v>1770</v>
      </c>
    </row>
    <row r="69" spans="1:13" x14ac:dyDescent="0.35">
      <c r="A69" s="18" t="s">
        <v>34</v>
      </c>
      <c r="B69" s="18"/>
      <c r="C69" s="3"/>
      <c r="D69" s="3">
        <v>3876</v>
      </c>
      <c r="E69" s="43">
        <v>5100</v>
      </c>
      <c r="F69">
        <f t="shared" si="9"/>
        <v>5100</v>
      </c>
      <c r="G69" s="21" t="s">
        <v>76</v>
      </c>
      <c r="J69">
        <f t="shared" si="10"/>
        <v>51</v>
      </c>
      <c r="K69">
        <v>4631</v>
      </c>
      <c r="M69" s="44">
        <f t="shared" si="11"/>
        <v>469</v>
      </c>
    </row>
    <row r="70" spans="1:13" x14ac:dyDescent="0.35">
      <c r="A70" s="18" t="s">
        <v>35</v>
      </c>
      <c r="B70" s="18"/>
      <c r="C70" s="3"/>
      <c r="D70" s="3">
        <v>684</v>
      </c>
      <c r="E70" s="4">
        <v>900</v>
      </c>
      <c r="F70">
        <f t="shared" si="9"/>
        <v>900</v>
      </c>
      <c r="J70">
        <f t="shared" si="10"/>
        <v>9</v>
      </c>
      <c r="K70">
        <v>711</v>
      </c>
      <c r="M70" s="44">
        <f t="shared" si="11"/>
        <v>189</v>
      </c>
    </row>
    <row r="71" spans="1:13" x14ac:dyDescent="0.35">
      <c r="A71" s="18" t="s">
        <v>36</v>
      </c>
      <c r="B71" s="18"/>
      <c r="C71" s="3"/>
      <c r="D71" s="3">
        <v>684</v>
      </c>
      <c r="E71" s="4">
        <v>900</v>
      </c>
      <c r="F71">
        <f t="shared" si="9"/>
        <v>900</v>
      </c>
      <c r="J71">
        <f t="shared" si="10"/>
        <v>9</v>
      </c>
      <c r="K71">
        <v>796</v>
      </c>
      <c r="M71" s="44">
        <f t="shared" si="11"/>
        <v>104</v>
      </c>
    </row>
    <row r="72" spans="1:13" x14ac:dyDescent="0.35">
      <c r="A72" s="18" t="s">
        <v>37</v>
      </c>
      <c r="B72" s="18"/>
      <c r="C72" s="3"/>
      <c r="D72" s="3">
        <v>1140</v>
      </c>
      <c r="E72" s="4">
        <v>1500</v>
      </c>
      <c r="F72">
        <f t="shared" si="9"/>
        <v>1500</v>
      </c>
      <c r="J72">
        <f t="shared" si="10"/>
        <v>15</v>
      </c>
      <c r="K72">
        <v>804</v>
      </c>
      <c r="M72" s="44">
        <f t="shared" si="11"/>
        <v>696</v>
      </c>
    </row>
    <row r="73" spans="1:13" x14ac:dyDescent="0.35">
      <c r="A73" s="3" t="s">
        <v>38</v>
      </c>
      <c r="B73" s="3"/>
      <c r="C73" s="3"/>
      <c r="D73" s="3">
        <v>912</v>
      </c>
      <c r="E73" s="4">
        <v>1200</v>
      </c>
      <c r="F73">
        <f t="shared" si="9"/>
        <v>1200</v>
      </c>
      <c r="J73">
        <f t="shared" si="10"/>
        <v>12</v>
      </c>
      <c r="K73">
        <v>936</v>
      </c>
      <c r="M73" s="44">
        <f t="shared" si="11"/>
        <v>264</v>
      </c>
    </row>
    <row r="74" spans="1:13" x14ac:dyDescent="0.35">
      <c r="A74" s="3" t="s">
        <v>39</v>
      </c>
      <c r="B74" s="3"/>
      <c r="C74" s="3"/>
      <c r="D74" s="3">
        <v>684</v>
      </c>
      <c r="E74" s="4">
        <v>900</v>
      </c>
      <c r="F74">
        <f t="shared" si="9"/>
        <v>900</v>
      </c>
      <c r="J74">
        <f t="shared" si="10"/>
        <v>9</v>
      </c>
      <c r="K74">
        <v>474</v>
      </c>
      <c r="M74" s="44">
        <f t="shared" si="11"/>
        <v>426</v>
      </c>
    </row>
    <row r="75" spans="1:13" x14ac:dyDescent="0.35">
      <c r="A75" s="3" t="s">
        <v>40</v>
      </c>
      <c r="B75" s="3"/>
      <c r="C75" s="3">
        <v>5814</v>
      </c>
      <c r="D75" s="3">
        <f>C75-C78</f>
        <v>5277.06</v>
      </c>
      <c r="E75" s="43">
        <v>6950</v>
      </c>
      <c r="F75">
        <f t="shared" si="9"/>
        <v>6943.5</v>
      </c>
      <c r="G75" s="21" t="s">
        <v>77</v>
      </c>
      <c r="J75">
        <f t="shared" si="10"/>
        <v>69.435000000000002</v>
      </c>
      <c r="K75">
        <v>4736</v>
      </c>
      <c r="M75" s="44">
        <f t="shared" si="11"/>
        <v>2214</v>
      </c>
    </row>
    <row r="76" spans="1:13" x14ac:dyDescent="0.35">
      <c r="A76" s="19" t="s">
        <v>41</v>
      </c>
      <c r="B76" s="1"/>
      <c r="C76" s="1"/>
      <c r="D76" s="1">
        <f>D67+D68+D69+D70+D71+D72+D73+D74+C75</f>
        <v>17898</v>
      </c>
      <c r="M76" s="31"/>
    </row>
    <row r="77" spans="1:13" x14ac:dyDescent="0.35">
      <c r="C77" s="20">
        <v>0.03</v>
      </c>
    </row>
    <row r="78" spans="1:13" x14ac:dyDescent="0.35">
      <c r="A78" s="1" t="s">
        <v>42</v>
      </c>
      <c r="B78" s="1"/>
      <c r="C78" s="1">
        <f>D76*0.03</f>
        <v>536.93999999999994</v>
      </c>
      <c r="D78" s="1" t="s">
        <v>43</v>
      </c>
      <c r="E78" t="s">
        <v>45</v>
      </c>
    </row>
    <row r="79" spans="1:13" x14ac:dyDescent="0.35">
      <c r="B79" t="s">
        <v>69</v>
      </c>
    </row>
  </sheetData>
  <pageMargins left="0.7" right="0.7" top="0.75" bottom="0.75" header="0.3" footer="0.3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A5D9-8B5A-4699-9AF0-80922A1C7223}">
  <dimension ref="A1:L43"/>
  <sheetViews>
    <sheetView workbookViewId="0">
      <selection activeCell="D19" sqref="D19"/>
    </sheetView>
  </sheetViews>
  <sheetFormatPr baseColWidth="10" defaultRowHeight="14.5" x14ac:dyDescent="0.35"/>
  <cols>
    <col min="1" max="1" width="33" customWidth="1"/>
    <col min="4" max="4" width="5.81640625" customWidth="1"/>
    <col min="5" max="5" width="5.90625" customWidth="1"/>
    <col min="6" max="6" width="5.54296875" bestFit="1" customWidth="1"/>
    <col min="7" max="7" width="8.6328125" customWidth="1"/>
    <col min="8" max="8" width="9.6328125" customWidth="1"/>
    <col min="9" max="9" width="9.90625" customWidth="1"/>
  </cols>
  <sheetData>
    <row r="1" spans="1:12" x14ac:dyDescent="0.35">
      <c r="A1" t="s">
        <v>89</v>
      </c>
      <c r="C1" t="s">
        <v>87</v>
      </c>
      <c r="D1" t="s">
        <v>88</v>
      </c>
    </row>
    <row r="2" spans="1:12" x14ac:dyDescent="0.35">
      <c r="A2">
        <v>2023</v>
      </c>
      <c r="B2" t="s">
        <v>1</v>
      </c>
      <c r="C2" t="s">
        <v>85</v>
      </c>
      <c r="D2" t="s">
        <v>86</v>
      </c>
      <c r="F2" t="s">
        <v>84</v>
      </c>
    </row>
    <row r="3" spans="1:12" x14ac:dyDescent="0.35">
      <c r="A3" s="3" t="s">
        <v>32</v>
      </c>
      <c r="B3" s="3">
        <v>2700</v>
      </c>
      <c r="C3" s="3">
        <v>2700</v>
      </c>
      <c r="D3" s="3"/>
    </row>
    <row r="4" spans="1:12" x14ac:dyDescent="0.35">
      <c r="A4" s="3" t="s">
        <v>33</v>
      </c>
      <c r="B4" s="3">
        <v>2700</v>
      </c>
      <c r="C4" s="3">
        <v>2700</v>
      </c>
      <c r="D4" s="3"/>
    </row>
    <row r="5" spans="1:12" x14ac:dyDescent="0.35">
      <c r="A5" s="3" t="s">
        <v>34</v>
      </c>
      <c r="B5" s="3">
        <v>5100</v>
      </c>
      <c r="C5" s="3">
        <v>4500</v>
      </c>
      <c r="D5" s="49">
        <v>600</v>
      </c>
      <c r="E5" s="50" t="s">
        <v>76</v>
      </c>
    </row>
    <row r="6" spans="1:12" x14ac:dyDescent="0.35">
      <c r="A6" s="3" t="s">
        <v>35</v>
      </c>
      <c r="B6" s="3">
        <v>900</v>
      </c>
      <c r="C6" s="3">
        <v>900</v>
      </c>
      <c r="D6" s="3"/>
    </row>
    <row r="7" spans="1:12" x14ac:dyDescent="0.35">
      <c r="A7" s="3" t="s">
        <v>36</v>
      </c>
      <c r="B7" s="3">
        <v>900</v>
      </c>
      <c r="C7" s="3">
        <v>900</v>
      </c>
      <c r="D7" s="3"/>
    </row>
    <row r="8" spans="1:12" x14ac:dyDescent="0.35">
      <c r="A8" s="3" t="s">
        <v>37</v>
      </c>
      <c r="B8" s="3">
        <v>1500</v>
      </c>
      <c r="C8" s="3">
        <v>1500</v>
      </c>
      <c r="D8" s="3"/>
    </row>
    <row r="9" spans="1:12" x14ac:dyDescent="0.35">
      <c r="A9" s="3" t="s">
        <v>38</v>
      </c>
      <c r="B9" s="3">
        <v>1200</v>
      </c>
      <c r="C9" s="3">
        <v>1200</v>
      </c>
      <c r="D9" s="3"/>
    </row>
    <row r="10" spans="1:12" x14ac:dyDescent="0.35">
      <c r="A10" s="3" t="s">
        <v>39</v>
      </c>
      <c r="B10" s="3">
        <v>900</v>
      </c>
      <c r="C10" s="3">
        <v>900</v>
      </c>
      <c r="D10" s="3"/>
    </row>
    <row r="11" spans="1:12" x14ac:dyDescent="0.35">
      <c r="A11" s="3" t="s">
        <v>40</v>
      </c>
      <c r="B11" s="3">
        <v>6950</v>
      </c>
      <c r="C11" s="3">
        <v>5200</v>
      </c>
      <c r="D11" s="49">
        <v>1800</v>
      </c>
      <c r="E11" s="50" t="s">
        <v>77</v>
      </c>
      <c r="L11" t="s">
        <v>113</v>
      </c>
    </row>
    <row r="13" spans="1:12" x14ac:dyDescent="0.35">
      <c r="A13" t="s">
        <v>90</v>
      </c>
      <c r="B13" t="s">
        <v>51</v>
      </c>
    </row>
    <row r="14" spans="1:12" x14ac:dyDescent="0.35">
      <c r="B14" t="s">
        <v>54</v>
      </c>
    </row>
    <row r="15" spans="1:12" x14ac:dyDescent="0.35">
      <c r="A15" t="s">
        <v>55</v>
      </c>
      <c r="B15" t="s">
        <v>61</v>
      </c>
      <c r="C15" s="51" t="s">
        <v>92</v>
      </c>
      <c r="D15" s="54" t="s">
        <v>91</v>
      </c>
    </row>
    <row r="16" spans="1:12" x14ac:dyDescent="0.35">
      <c r="A16" s="3" t="s">
        <v>2</v>
      </c>
      <c r="B16" s="3">
        <v>1958</v>
      </c>
      <c r="C16" s="52">
        <v>1958</v>
      </c>
      <c r="D16" s="42">
        <v>1992</v>
      </c>
    </row>
    <row r="17" spans="1:12" x14ac:dyDescent="0.35">
      <c r="A17" s="3" t="s">
        <v>4</v>
      </c>
      <c r="B17" s="3">
        <v>4036.4933333333333</v>
      </c>
      <c r="C17" s="52"/>
      <c r="D17" s="54"/>
    </row>
    <row r="18" spans="1:12" x14ac:dyDescent="0.35">
      <c r="A18" s="3" t="s">
        <v>9</v>
      </c>
      <c r="B18" s="3">
        <v>14366.346666666666</v>
      </c>
      <c r="C18" s="53"/>
      <c r="D18" s="54"/>
    </row>
    <row r="19" spans="1:12" x14ac:dyDescent="0.35">
      <c r="A19" s="3" t="s">
        <v>10</v>
      </c>
      <c r="B19" s="3">
        <v>6526.16</v>
      </c>
      <c r="C19" s="52">
        <v>6600</v>
      </c>
      <c r="D19" s="42">
        <v>6800</v>
      </c>
    </row>
    <row r="20" spans="1:12" x14ac:dyDescent="0.35">
      <c r="D20" t="s">
        <v>5</v>
      </c>
      <c r="E20" t="s">
        <v>5</v>
      </c>
      <c r="F20" t="s">
        <v>5</v>
      </c>
      <c r="G20" s="22" t="s">
        <v>109</v>
      </c>
      <c r="H20" s="22" t="s">
        <v>93</v>
      </c>
      <c r="I20" s="22" t="s">
        <v>104</v>
      </c>
      <c r="J20" s="31" t="s">
        <v>1</v>
      </c>
      <c r="K20" s="56" t="s">
        <v>95</v>
      </c>
    </row>
    <row r="21" spans="1:12" x14ac:dyDescent="0.35">
      <c r="B21" s="25" t="s">
        <v>28</v>
      </c>
      <c r="C21" s="22" t="s">
        <v>99</v>
      </c>
      <c r="D21" s="22" t="s">
        <v>107</v>
      </c>
      <c r="E21" s="22" t="s">
        <v>108</v>
      </c>
      <c r="F21" s="22" t="s">
        <v>106</v>
      </c>
      <c r="G21" s="22" t="s">
        <v>110</v>
      </c>
      <c r="H21" s="22" t="s">
        <v>72</v>
      </c>
      <c r="I21" s="22" t="s">
        <v>105</v>
      </c>
      <c r="J21" s="31" t="s">
        <v>96</v>
      </c>
      <c r="K21" s="56" t="s">
        <v>94</v>
      </c>
    </row>
    <row r="22" spans="1:12" x14ac:dyDescent="0.35">
      <c r="A22" s="3" t="s">
        <v>4</v>
      </c>
      <c r="B22" s="18">
        <v>4261</v>
      </c>
      <c r="C22" s="58">
        <v>4261</v>
      </c>
      <c r="D22" s="3">
        <v>456</v>
      </c>
      <c r="E22" s="3">
        <v>456</v>
      </c>
      <c r="F22" s="3">
        <v>912</v>
      </c>
      <c r="G22" s="3">
        <v>3349</v>
      </c>
      <c r="H22" s="4">
        <v>41.065789473684212</v>
      </c>
      <c r="I22" s="4">
        <f>G22-H22</f>
        <v>3307.9342105263158</v>
      </c>
      <c r="J22" s="55">
        <f t="shared" ref="J22:J23" si="0">I22/0.75</f>
        <v>4410.5789473684208</v>
      </c>
      <c r="K22" s="57">
        <f>J22*0.97</f>
        <v>4278.2615789473684</v>
      </c>
    </row>
    <row r="23" spans="1:12" x14ac:dyDescent="0.35">
      <c r="A23" s="3" t="s">
        <v>9</v>
      </c>
      <c r="B23" s="18">
        <v>11564</v>
      </c>
      <c r="C23" s="58">
        <v>11564</v>
      </c>
      <c r="D23" s="3"/>
      <c r="E23" s="14">
        <v>456</v>
      </c>
      <c r="F23" s="4">
        <f t="shared" ref="F23" si="1">D23+E23</f>
        <v>456</v>
      </c>
      <c r="G23" s="3">
        <f t="shared" ref="G23" si="2">C23-F23</f>
        <v>11108</v>
      </c>
      <c r="H23" s="4">
        <f t="shared" ref="H23" si="3">G23/228*3</f>
        <v>146.15789473684211</v>
      </c>
      <c r="I23" s="4">
        <f t="shared" ref="I23" si="4">G23-H23</f>
        <v>10961.842105263158</v>
      </c>
      <c r="J23" s="55">
        <f t="shared" si="0"/>
        <v>14615.789473684212</v>
      </c>
      <c r="K23" s="57">
        <f>J23*0.97</f>
        <v>14177.315789473685</v>
      </c>
      <c r="L23" t="s">
        <v>113</v>
      </c>
    </row>
    <row r="26" spans="1:12" x14ac:dyDescent="0.35">
      <c r="A26" t="s">
        <v>97</v>
      </c>
    </row>
    <row r="27" spans="1:12" x14ac:dyDescent="0.35">
      <c r="A27" t="s">
        <v>98</v>
      </c>
    </row>
    <row r="28" spans="1:12" x14ac:dyDescent="0.35">
      <c r="A28" t="s">
        <v>100</v>
      </c>
    </row>
    <row r="29" spans="1:12" x14ac:dyDescent="0.35">
      <c r="A29" t="s">
        <v>101</v>
      </c>
    </row>
    <row r="30" spans="1:12" x14ac:dyDescent="0.35">
      <c r="A30" t="s">
        <v>102</v>
      </c>
    </row>
    <row r="31" spans="1:12" x14ac:dyDescent="0.35">
      <c r="A31" t="s">
        <v>103</v>
      </c>
    </row>
    <row r="35" spans="1:1" x14ac:dyDescent="0.35">
      <c r="A35" t="s">
        <v>114</v>
      </c>
    </row>
    <row r="36" spans="1:1" x14ac:dyDescent="0.35">
      <c r="A36" t="s">
        <v>115</v>
      </c>
    </row>
    <row r="37" spans="1:1" x14ac:dyDescent="0.35">
      <c r="A37" t="s">
        <v>116</v>
      </c>
    </row>
    <row r="39" spans="1:1" x14ac:dyDescent="0.35">
      <c r="A39" t="s">
        <v>117</v>
      </c>
    </row>
    <row r="40" spans="1:1" x14ac:dyDescent="0.35">
      <c r="A40" t="s">
        <v>130</v>
      </c>
    </row>
    <row r="41" spans="1:1" x14ac:dyDescent="0.35">
      <c r="A41" t="s">
        <v>119</v>
      </c>
    </row>
    <row r="42" spans="1:1" x14ac:dyDescent="0.35">
      <c r="A42" t="s">
        <v>120</v>
      </c>
    </row>
    <row r="43" spans="1:1" x14ac:dyDescent="0.35">
      <c r="A43" t="s">
        <v>131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ABCE0-BDD2-475B-956A-CC10BA861E45}">
  <dimension ref="A1:K78"/>
  <sheetViews>
    <sheetView tabSelected="1" topLeftCell="A43" workbookViewId="0">
      <selection activeCell="E73" sqref="E73"/>
    </sheetView>
  </sheetViews>
  <sheetFormatPr baseColWidth="10" defaultRowHeight="14.5" x14ac:dyDescent="0.35"/>
  <cols>
    <col min="1" max="1" width="33.90625" bestFit="1" customWidth="1"/>
    <col min="2" max="2" width="15" customWidth="1"/>
    <col min="3" max="3" width="14.36328125" customWidth="1"/>
    <col min="4" max="4" width="19.453125" customWidth="1"/>
    <col min="5" max="5" width="25.08984375" customWidth="1"/>
    <col min="6" max="6" width="23.90625" customWidth="1"/>
    <col min="7" max="7" width="21.54296875" customWidth="1"/>
    <col min="8" max="8" width="10.90625" style="48"/>
  </cols>
  <sheetData>
    <row r="1" spans="1:11" x14ac:dyDescent="0.35">
      <c r="A1" t="s">
        <v>55</v>
      </c>
      <c r="C1" s="78" t="s">
        <v>127</v>
      </c>
      <c r="D1" s="78"/>
      <c r="E1" s="61" t="s">
        <v>129</v>
      </c>
      <c r="F1" s="78" t="s">
        <v>124</v>
      </c>
      <c r="G1" s="78"/>
      <c r="I1" s="65">
        <v>45731</v>
      </c>
    </row>
    <row r="2" spans="1:11" x14ac:dyDescent="0.35">
      <c r="A2" t="s">
        <v>90</v>
      </c>
      <c r="B2" t="s">
        <v>28</v>
      </c>
      <c r="C2" s="3" t="s">
        <v>121</v>
      </c>
      <c r="D2" s="3" t="s">
        <v>122</v>
      </c>
      <c r="E2" s="3" t="s">
        <v>128</v>
      </c>
      <c r="F2" s="62" t="s">
        <v>125</v>
      </c>
      <c r="G2" s="3" t="s">
        <v>126</v>
      </c>
      <c r="H2" s="63" t="s">
        <v>123</v>
      </c>
      <c r="I2" s="64" t="s">
        <v>132</v>
      </c>
      <c r="J2" s="69" t="s">
        <v>133</v>
      </c>
      <c r="K2" s="64" t="s">
        <v>139</v>
      </c>
    </row>
    <row r="3" spans="1:11" x14ac:dyDescent="0.35">
      <c r="A3" s="73" t="s">
        <v>3</v>
      </c>
      <c r="B3" s="3">
        <v>1540</v>
      </c>
      <c r="C3" s="13">
        <f>B3/228*3</f>
        <v>20.263157894736842</v>
      </c>
      <c r="D3" s="3">
        <f>(B3-C3)*0.01</f>
        <v>15.197368421052632</v>
      </c>
      <c r="E3" s="3">
        <f>B3-C3-D3</f>
        <v>1504.5394736842104</v>
      </c>
      <c r="F3" s="3"/>
      <c r="G3" s="3"/>
      <c r="H3" s="63">
        <f t="shared" ref="H3:H30" si="0">(E3-F3*3-G3*1.5)/0.75</f>
        <v>2006.0526315789473</v>
      </c>
      <c r="I3">
        <v>1988</v>
      </c>
      <c r="J3" s="45">
        <f>H3-I3</f>
        <v>18.052631578947285</v>
      </c>
      <c r="K3">
        <f>J3/H3*100</f>
        <v>0.89990817263544109</v>
      </c>
    </row>
    <row r="4" spans="1:11" x14ac:dyDescent="0.35">
      <c r="A4" s="73" t="s">
        <v>6</v>
      </c>
      <c r="B4" s="3">
        <v>1940</v>
      </c>
      <c r="C4" s="13">
        <f t="shared" ref="C4:C15" si="1">B4/228*3</f>
        <v>25.526315789473685</v>
      </c>
      <c r="D4" s="3">
        <f t="shared" ref="D4:D15" si="2">(B4-C4)*0.01</f>
        <v>19.144736842105264</v>
      </c>
      <c r="E4" s="3">
        <f t="shared" ref="E4:E15" si="3">B4-C4-D4</f>
        <v>1895.328947368421</v>
      </c>
      <c r="F4" s="3"/>
      <c r="G4" s="3"/>
      <c r="H4" s="63">
        <f t="shared" si="0"/>
        <v>2527.1052631578946</v>
      </c>
      <c r="I4">
        <v>2149</v>
      </c>
      <c r="J4" s="45">
        <f t="shared" ref="J4:J20" si="4">H4-I4</f>
        <v>378.10526315789457</v>
      </c>
      <c r="K4">
        <f t="shared" ref="K4:K31" si="5">J4/H4*100</f>
        <v>14.961991044465265</v>
      </c>
    </row>
    <row r="5" spans="1:11" x14ac:dyDescent="0.35">
      <c r="A5" s="71" t="s">
        <v>7</v>
      </c>
      <c r="B5" s="3">
        <v>2506</v>
      </c>
      <c r="C5" s="13">
        <f t="shared" si="1"/>
        <v>32.973684210526315</v>
      </c>
      <c r="D5" s="3">
        <f t="shared" si="2"/>
        <v>24.73026315789474</v>
      </c>
      <c r="E5" s="3">
        <f t="shared" si="3"/>
        <v>2448.2960526315792</v>
      </c>
      <c r="F5" s="74">
        <v>3</v>
      </c>
      <c r="G5" s="32">
        <v>21</v>
      </c>
      <c r="H5" s="63">
        <f>(E5-F5*3-G5*1.5)/0.75</f>
        <v>3210.3947368421054</v>
      </c>
      <c r="I5">
        <v>2304</v>
      </c>
      <c r="J5" s="45">
        <f t="shared" si="4"/>
        <v>906.39473684210543</v>
      </c>
      <c r="K5">
        <f t="shared" si="5"/>
        <v>28.233124308373299</v>
      </c>
    </row>
    <row r="6" spans="1:11" x14ac:dyDescent="0.35">
      <c r="A6" s="73" t="s">
        <v>8</v>
      </c>
      <c r="B6" s="3">
        <v>2374</v>
      </c>
      <c r="C6" s="13">
        <f t="shared" si="1"/>
        <v>31.236842105263158</v>
      </c>
      <c r="D6" s="3">
        <f t="shared" si="2"/>
        <v>23.427631578947366</v>
      </c>
      <c r="E6" s="3">
        <f t="shared" si="3"/>
        <v>2319.3355263157891</v>
      </c>
      <c r="F6" s="74">
        <v>4</v>
      </c>
      <c r="G6" s="32">
        <v>21</v>
      </c>
      <c r="H6" s="63">
        <f t="shared" si="0"/>
        <v>3034.447368421052</v>
      </c>
      <c r="I6">
        <v>2420</v>
      </c>
      <c r="J6" s="45">
        <f t="shared" si="4"/>
        <v>614.44736842105203</v>
      </c>
      <c r="K6">
        <f t="shared" si="5"/>
        <v>20.249069890468206</v>
      </c>
    </row>
    <row r="7" spans="1:11" x14ac:dyDescent="0.35">
      <c r="A7" s="73" t="s">
        <v>12</v>
      </c>
      <c r="B7" s="3">
        <v>1606</v>
      </c>
      <c r="C7" s="13">
        <f t="shared" si="1"/>
        <v>21.131578947368421</v>
      </c>
      <c r="D7" s="3">
        <f t="shared" si="2"/>
        <v>15.848684210526317</v>
      </c>
      <c r="E7" s="3">
        <f t="shared" si="3"/>
        <v>1569.0197368421054</v>
      </c>
      <c r="F7" s="3"/>
      <c r="G7" s="3"/>
      <c r="H7" s="63">
        <f t="shared" si="0"/>
        <v>2092.0263157894738</v>
      </c>
      <c r="I7">
        <v>1935</v>
      </c>
      <c r="J7" s="45">
        <f t="shared" si="4"/>
        <v>157.02631578947376</v>
      </c>
      <c r="K7">
        <f t="shared" si="5"/>
        <v>7.5059436205139844</v>
      </c>
    </row>
    <row r="8" spans="1:11" x14ac:dyDescent="0.35">
      <c r="A8" s="72" t="s">
        <v>13</v>
      </c>
      <c r="B8" s="3">
        <v>684</v>
      </c>
      <c r="C8" s="13">
        <f t="shared" si="1"/>
        <v>9</v>
      </c>
      <c r="D8" s="3">
        <f t="shared" si="2"/>
        <v>6.75</v>
      </c>
      <c r="E8" s="3">
        <f t="shared" si="3"/>
        <v>668.25</v>
      </c>
      <c r="F8" s="3"/>
      <c r="G8" s="74">
        <v>9</v>
      </c>
      <c r="H8" s="63">
        <f t="shared" si="0"/>
        <v>873</v>
      </c>
      <c r="I8">
        <v>373</v>
      </c>
      <c r="J8" s="45">
        <f t="shared" si="4"/>
        <v>500</v>
      </c>
      <c r="K8">
        <f t="shared" si="5"/>
        <v>57.273768613974795</v>
      </c>
    </row>
    <row r="9" spans="1:11" x14ac:dyDescent="0.35">
      <c r="A9" s="73" t="s">
        <v>14</v>
      </c>
      <c r="B9" s="3">
        <v>1734</v>
      </c>
      <c r="C9" s="13">
        <f t="shared" si="1"/>
        <v>22.815789473684212</v>
      </c>
      <c r="D9" s="3">
        <f t="shared" si="2"/>
        <v>17.111842105263158</v>
      </c>
      <c r="E9" s="3">
        <f t="shared" si="3"/>
        <v>1694.0723684210527</v>
      </c>
      <c r="F9" s="3"/>
      <c r="G9" s="3"/>
      <c r="H9" s="63">
        <f t="shared" si="0"/>
        <v>2258.7631578947371</v>
      </c>
      <c r="I9">
        <v>1840</v>
      </c>
      <c r="J9" s="45">
        <f t="shared" si="4"/>
        <v>418.76315789473711</v>
      </c>
      <c r="K9">
        <f t="shared" si="5"/>
        <v>18.539489473745537</v>
      </c>
    </row>
    <row r="10" spans="1:11" x14ac:dyDescent="0.35">
      <c r="A10" s="28" t="s">
        <v>15</v>
      </c>
      <c r="B10" s="3">
        <v>1856</v>
      </c>
      <c r="C10" s="13">
        <f t="shared" si="1"/>
        <v>24.421052631578949</v>
      </c>
      <c r="D10" s="3">
        <f t="shared" si="2"/>
        <v>18.315789473684212</v>
      </c>
      <c r="E10" s="3">
        <f t="shared" si="3"/>
        <v>1813.2631578947369</v>
      </c>
      <c r="F10" s="74">
        <v>7</v>
      </c>
      <c r="G10" s="74">
        <v>31</v>
      </c>
      <c r="H10" s="63">
        <f t="shared" si="0"/>
        <v>2327.6842105263158</v>
      </c>
      <c r="I10">
        <v>1960</v>
      </c>
      <c r="J10" s="45">
        <f t="shared" si="4"/>
        <v>367.68421052631584</v>
      </c>
      <c r="K10">
        <f t="shared" si="5"/>
        <v>15.796138018360242</v>
      </c>
    </row>
    <row r="11" spans="1:11" x14ac:dyDescent="0.35">
      <c r="A11" s="73" t="s">
        <v>16</v>
      </c>
      <c r="B11" s="3">
        <v>2402</v>
      </c>
      <c r="C11" s="13">
        <f t="shared" si="1"/>
        <v>31.605263157894733</v>
      </c>
      <c r="D11" s="3">
        <f t="shared" si="2"/>
        <v>23.703947368421055</v>
      </c>
      <c r="E11" s="3">
        <f t="shared" si="3"/>
        <v>2346.6907894736842</v>
      </c>
      <c r="F11" s="3"/>
      <c r="G11" s="3"/>
      <c r="H11" s="63">
        <f t="shared" si="0"/>
        <v>3128.9210526315787</v>
      </c>
      <c r="I11">
        <v>2868</v>
      </c>
      <c r="J11" s="45">
        <f t="shared" si="4"/>
        <v>260.92105263157873</v>
      </c>
      <c r="K11">
        <f t="shared" si="5"/>
        <v>8.3390104206090818</v>
      </c>
    </row>
    <row r="12" spans="1:11" x14ac:dyDescent="0.35">
      <c r="A12" s="73" t="s">
        <v>17</v>
      </c>
      <c r="B12" s="3">
        <v>1142</v>
      </c>
      <c r="C12" s="13">
        <f t="shared" si="1"/>
        <v>15.026315789473685</v>
      </c>
      <c r="D12" s="3">
        <f t="shared" si="2"/>
        <v>11.269736842105262</v>
      </c>
      <c r="E12" s="3">
        <f t="shared" si="3"/>
        <v>1115.703947368421</v>
      </c>
      <c r="F12" s="3"/>
      <c r="G12" s="3"/>
      <c r="H12" s="63">
        <f t="shared" si="0"/>
        <v>1487.6052631578948</v>
      </c>
      <c r="I12">
        <v>1273</v>
      </c>
      <c r="J12" s="45">
        <f t="shared" si="4"/>
        <v>214.6052631578948</v>
      </c>
      <c r="K12">
        <f t="shared" si="5"/>
        <v>14.426223708185182</v>
      </c>
    </row>
    <row r="13" spans="1:11" x14ac:dyDescent="0.35">
      <c r="A13" s="72" t="s">
        <v>18</v>
      </c>
      <c r="B13" s="3">
        <v>5370</v>
      </c>
      <c r="C13" s="13">
        <f t="shared" si="1"/>
        <v>70.65789473684211</v>
      </c>
      <c r="D13" s="3">
        <f t="shared" si="2"/>
        <v>52.993421052631575</v>
      </c>
      <c r="E13" s="3">
        <f t="shared" si="3"/>
        <v>5246.3486842105258</v>
      </c>
      <c r="F13" s="74">
        <v>6</v>
      </c>
      <c r="G13" s="74">
        <v>12</v>
      </c>
      <c r="H13" s="63">
        <f t="shared" si="0"/>
        <v>6947.1315789473674</v>
      </c>
      <c r="I13">
        <v>5442</v>
      </c>
      <c r="J13" s="45">
        <f t="shared" si="4"/>
        <v>1505.1315789473674</v>
      </c>
      <c r="K13">
        <f t="shared" si="5"/>
        <v>21.665511324249678</v>
      </c>
    </row>
    <row r="14" spans="1:11" x14ac:dyDescent="0.35">
      <c r="A14" s="72" t="s">
        <v>19</v>
      </c>
      <c r="B14" s="3">
        <v>1526</v>
      </c>
      <c r="C14" s="13">
        <f t="shared" si="1"/>
        <v>20.078947368421055</v>
      </c>
      <c r="D14" s="3">
        <f t="shared" si="2"/>
        <v>15.059210526315789</v>
      </c>
      <c r="E14" s="3">
        <f t="shared" si="3"/>
        <v>1490.8618421052631</v>
      </c>
      <c r="F14" s="3"/>
      <c r="G14" s="3"/>
      <c r="H14" s="63">
        <f t="shared" si="0"/>
        <v>1987.8157894736842</v>
      </c>
      <c r="I14">
        <v>1131</v>
      </c>
      <c r="J14" s="45">
        <f t="shared" si="4"/>
        <v>856.81578947368416</v>
      </c>
      <c r="K14">
        <f t="shared" si="5"/>
        <v>43.103379800627508</v>
      </c>
    </row>
    <row r="15" spans="1:11" x14ac:dyDescent="0.35">
      <c r="A15" s="28" t="s">
        <v>20</v>
      </c>
      <c r="B15" s="66">
        <v>1824</v>
      </c>
      <c r="C15" s="67">
        <f t="shared" si="1"/>
        <v>24</v>
      </c>
      <c r="D15" s="66">
        <f t="shared" si="2"/>
        <v>18</v>
      </c>
      <c r="E15" s="66">
        <f t="shared" si="3"/>
        <v>1782</v>
      </c>
      <c r="F15" s="66"/>
      <c r="G15" s="66"/>
      <c r="H15" s="68">
        <f t="shared" si="0"/>
        <v>2376</v>
      </c>
      <c r="I15">
        <v>2017</v>
      </c>
      <c r="J15" s="45">
        <f t="shared" si="4"/>
        <v>359</v>
      </c>
      <c r="K15">
        <f t="shared" si="5"/>
        <v>15.109427609427609</v>
      </c>
    </row>
    <row r="16" spans="1:11" x14ac:dyDescent="0.35">
      <c r="A16" s="74" t="s">
        <v>134</v>
      </c>
      <c r="B16" s="3"/>
      <c r="C16" s="3"/>
      <c r="D16" s="3"/>
      <c r="E16" s="3"/>
      <c r="F16" s="3"/>
      <c r="G16" s="3"/>
      <c r="H16" s="63">
        <v>2000</v>
      </c>
      <c r="I16" s="3">
        <v>1814</v>
      </c>
      <c r="J16" s="45">
        <f t="shared" si="4"/>
        <v>186</v>
      </c>
      <c r="K16">
        <f t="shared" si="5"/>
        <v>9.3000000000000007</v>
      </c>
    </row>
    <row r="17" spans="1:11" x14ac:dyDescent="0.35">
      <c r="A17" s="74" t="s">
        <v>135</v>
      </c>
      <c r="B17" s="3"/>
      <c r="C17" s="4"/>
      <c r="D17" s="3"/>
      <c r="E17" s="3"/>
      <c r="F17" s="3"/>
      <c r="G17" s="3"/>
      <c r="H17" s="63">
        <v>4047</v>
      </c>
      <c r="I17" s="3">
        <v>2888</v>
      </c>
      <c r="J17" s="45">
        <f t="shared" si="4"/>
        <v>1159</v>
      </c>
      <c r="K17">
        <f t="shared" si="5"/>
        <v>28.638497652582164</v>
      </c>
    </row>
    <row r="18" spans="1:11" x14ac:dyDescent="0.35">
      <c r="A18" s="76" t="s">
        <v>136</v>
      </c>
      <c r="B18" s="3"/>
      <c r="C18" s="4"/>
      <c r="D18" s="3"/>
      <c r="E18" s="3"/>
      <c r="F18" s="3"/>
      <c r="G18" s="3"/>
      <c r="H18" s="63">
        <v>13822</v>
      </c>
      <c r="I18" s="3">
        <v>10093</v>
      </c>
      <c r="J18" s="45">
        <f t="shared" si="4"/>
        <v>3729</v>
      </c>
      <c r="K18">
        <f t="shared" si="5"/>
        <v>26.978729561568514</v>
      </c>
    </row>
    <row r="19" spans="1:11" x14ac:dyDescent="0.35">
      <c r="A19" s="77" t="s">
        <v>137</v>
      </c>
      <c r="B19" s="66"/>
      <c r="C19" s="66"/>
      <c r="D19" s="66"/>
      <c r="E19" s="66"/>
      <c r="F19" s="66"/>
      <c r="G19" s="66"/>
      <c r="H19" s="68">
        <v>6630</v>
      </c>
      <c r="I19" s="66">
        <v>6022</v>
      </c>
      <c r="J19" s="45">
        <f t="shared" si="4"/>
        <v>608</v>
      </c>
      <c r="K19">
        <f t="shared" si="5"/>
        <v>9.1704374057315228</v>
      </c>
    </row>
    <row r="20" spans="1:11" x14ac:dyDescent="0.35">
      <c r="A20" s="74" t="s">
        <v>138</v>
      </c>
      <c r="B20" s="3"/>
      <c r="C20" s="3"/>
      <c r="D20" s="3"/>
      <c r="E20" s="3"/>
      <c r="F20" s="3"/>
      <c r="G20" s="3"/>
      <c r="H20" s="63">
        <v>13794</v>
      </c>
      <c r="I20" s="3">
        <v>10414</v>
      </c>
      <c r="J20" s="70">
        <f t="shared" si="4"/>
        <v>3380</v>
      </c>
      <c r="K20">
        <f t="shared" si="5"/>
        <v>24.503407278526897</v>
      </c>
    </row>
    <row r="21" spans="1:11" x14ac:dyDescent="0.35">
      <c r="A21" t="s">
        <v>89</v>
      </c>
      <c r="C21" s="78" t="s">
        <v>127</v>
      </c>
      <c r="D21" s="78"/>
      <c r="E21" s="61" t="s">
        <v>129</v>
      </c>
      <c r="F21" s="78" t="s">
        <v>124</v>
      </c>
      <c r="G21" s="78"/>
      <c r="J21" s="71"/>
      <c r="K21" t="e">
        <f t="shared" si="5"/>
        <v>#DIV/0!</v>
      </c>
    </row>
    <row r="22" spans="1:11" x14ac:dyDescent="0.35">
      <c r="A22">
        <v>2023</v>
      </c>
      <c r="C22" s="3" t="s">
        <v>121</v>
      </c>
      <c r="D22" s="3" t="s">
        <v>122</v>
      </c>
      <c r="E22" s="3" t="s">
        <v>128</v>
      </c>
      <c r="F22" s="62" t="s">
        <v>125</v>
      </c>
      <c r="G22" s="3" t="s">
        <v>126</v>
      </c>
      <c r="H22" s="63" t="s">
        <v>123</v>
      </c>
      <c r="J22" s="71"/>
      <c r="K22" t="e">
        <f t="shared" si="5"/>
        <v>#VALUE!</v>
      </c>
    </row>
    <row r="23" spans="1:11" x14ac:dyDescent="0.35">
      <c r="A23" s="75" t="s">
        <v>32</v>
      </c>
      <c r="B23" s="3">
        <v>2052</v>
      </c>
      <c r="C23" s="3">
        <f>B23/228*3</f>
        <v>27</v>
      </c>
      <c r="D23" s="3">
        <f>(B23-C23)*0.01</f>
        <v>20.25</v>
      </c>
      <c r="E23" s="3">
        <f>B23-C23-D23</f>
        <v>2004.75</v>
      </c>
      <c r="F23" s="3"/>
      <c r="G23" s="3"/>
      <c r="H23" s="63">
        <f t="shared" si="0"/>
        <v>2673</v>
      </c>
      <c r="I23" s="3">
        <v>1391</v>
      </c>
      <c r="J23" s="70">
        <f>H23-I23</f>
        <v>1282</v>
      </c>
      <c r="K23">
        <f t="shared" si="5"/>
        <v>47.961092405536846</v>
      </c>
    </row>
    <row r="24" spans="1:11" x14ac:dyDescent="0.35">
      <c r="A24" s="75" t="s">
        <v>33</v>
      </c>
      <c r="B24" s="3">
        <v>2052</v>
      </c>
      <c r="C24" s="3">
        <f t="shared" ref="C24:C30" si="6">B24/228*3</f>
        <v>27</v>
      </c>
      <c r="D24" s="3">
        <f t="shared" ref="D24:D30" si="7">(B24-C24)*0.01</f>
        <v>20.25</v>
      </c>
      <c r="E24" s="3">
        <f t="shared" ref="E24:E30" si="8">B24-C24-D24</f>
        <v>2004.75</v>
      </c>
      <c r="F24" s="3"/>
      <c r="G24" s="3"/>
      <c r="H24" s="63">
        <f t="shared" si="0"/>
        <v>2673</v>
      </c>
      <c r="I24" s="3">
        <v>933</v>
      </c>
      <c r="J24" s="70">
        <f t="shared" ref="J24:J31" si="9">H24-I24</f>
        <v>1740</v>
      </c>
      <c r="K24">
        <f t="shared" si="5"/>
        <v>65.09539842873177</v>
      </c>
    </row>
    <row r="25" spans="1:11" x14ac:dyDescent="0.35">
      <c r="A25" s="75" t="s">
        <v>34</v>
      </c>
      <c r="B25" s="3">
        <v>3876</v>
      </c>
      <c r="C25" s="3">
        <f t="shared" si="6"/>
        <v>51</v>
      </c>
      <c r="D25" s="3">
        <f t="shared" si="7"/>
        <v>38.25</v>
      </c>
      <c r="E25" s="3">
        <f t="shared" si="8"/>
        <v>3786.75</v>
      </c>
      <c r="F25" s="3"/>
      <c r="G25" s="3"/>
      <c r="H25" s="63">
        <f t="shared" si="0"/>
        <v>5049</v>
      </c>
      <c r="I25" s="3">
        <v>4555</v>
      </c>
      <c r="J25" s="70">
        <f t="shared" si="9"/>
        <v>494</v>
      </c>
      <c r="K25">
        <f t="shared" si="5"/>
        <v>9.7841156664686082</v>
      </c>
    </row>
    <row r="26" spans="1:11" x14ac:dyDescent="0.35">
      <c r="A26" s="75" t="s">
        <v>35</v>
      </c>
      <c r="B26" s="3">
        <v>684</v>
      </c>
      <c r="C26" s="3">
        <f t="shared" si="6"/>
        <v>9</v>
      </c>
      <c r="D26" s="3">
        <f t="shared" si="7"/>
        <v>6.75</v>
      </c>
      <c r="E26" s="3">
        <f t="shared" si="8"/>
        <v>668.25</v>
      </c>
      <c r="F26" s="3"/>
      <c r="G26" s="3"/>
      <c r="H26" s="63">
        <f t="shared" si="0"/>
        <v>891</v>
      </c>
      <c r="I26" s="3">
        <v>711</v>
      </c>
      <c r="J26" s="70">
        <f t="shared" si="9"/>
        <v>180</v>
      </c>
      <c r="K26">
        <f t="shared" si="5"/>
        <v>20.202020202020201</v>
      </c>
    </row>
    <row r="27" spans="1:11" x14ac:dyDescent="0.35">
      <c r="A27" s="75" t="s">
        <v>36</v>
      </c>
      <c r="B27" s="3">
        <v>684</v>
      </c>
      <c r="C27" s="3">
        <f t="shared" si="6"/>
        <v>9</v>
      </c>
      <c r="D27" s="3">
        <f t="shared" si="7"/>
        <v>6.75</v>
      </c>
      <c r="E27" s="3">
        <f t="shared" si="8"/>
        <v>668.25</v>
      </c>
      <c r="F27" s="3"/>
      <c r="G27" s="3"/>
      <c r="H27" s="63">
        <f t="shared" si="0"/>
        <v>891</v>
      </c>
      <c r="I27" s="3">
        <v>802</v>
      </c>
      <c r="J27" s="70">
        <f t="shared" si="9"/>
        <v>89</v>
      </c>
      <c r="K27">
        <f t="shared" si="5"/>
        <v>9.9887766554433224</v>
      </c>
    </row>
    <row r="28" spans="1:11" x14ac:dyDescent="0.35">
      <c r="A28" s="75" t="s">
        <v>37</v>
      </c>
      <c r="B28" s="3">
        <v>1140</v>
      </c>
      <c r="C28" s="3">
        <f t="shared" si="6"/>
        <v>15</v>
      </c>
      <c r="D28" s="3">
        <f t="shared" si="7"/>
        <v>11.25</v>
      </c>
      <c r="E28" s="3">
        <f t="shared" si="8"/>
        <v>1113.75</v>
      </c>
      <c r="F28" s="3"/>
      <c r="G28" s="3"/>
      <c r="H28" s="63">
        <f t="shared" si="0"/>
        <v>1485</v>
      </c>
      <c r="I28" s="3">
        <v>798</v>
      </c>
      <c r="J28" s="70">
        <f t="shared" si="9"/>
        <v>687</v>
      </c>
      <c r="K28">
        <f t="shared" si="5"/>
        <v>46.262626262626263</v>
      </c>
    </row>
    <row r="29" spans="1:11" x14ac:dyDescent="0.35">
      <c r="A29" s="74" t="s">
        <v>38</v>
      </c>
      <c r="B29" s="3">
        <v>912</v>
      </c>
      <c r="C29" s="3">
        <f t="shared" si="6"/>
        <v>12</v>
      </c>
      <c r="D29" s="3">
        <f t="shared" si="7"/>
        <v>9</v>
      </c>
      <c r="E29" s="3">
        <f t="shared" si="8"/>
        <v>891</v>
      </c>
      <c r="F29" s="3"/>
      <c r="G29" s="74">
        <v>9</v>
      </c>
      <c r="H29" s="63">
        <f t="shared" si="0"/>
        <v>1170</v>
      </c>
      <c r="I29" s="3">
        <v>908</v>
      </c>
      <c r="J29" s="70">
        <f t="shared" si="9"/>
        <v>262</v>
      </c>
      <c r="K29">
        <f t="shared" si="5"/>
        <v>22.393162393162395</v>
      </c>
    </row>
    <row r="30" spans="1:11" x14ac:dyDescent="0.35">
      <c r="A30" s="79" t="s">
        <v>39</v>
      </c>
      <c r="B30" s="3">
        <v>684</v>
      </c>
      <c r="C30" s="3">
        <f t="shared" si="6"/>
        <v>9</v>
      </c>
      <c r="D30" s="3">
        <f t="shared" si="7"/>
        <v>6.75</v>
      </c>
      <c r="E30" s="3">
        <f t="shared" si="8"/>
        <v>668.25</v>
      </c>
      <c r="F30" s="3"/>
      <c r="G30" s="74">
        <v>3</v>
      </c>
      <c r="H30" s="63">
        <f t="shared" si="0"/>
        <v>885</v>
      </c>
      <c r="I30" s="3">
        <v>465</v>
      </c>
      <c r="J30" s="70">
        <f t="shared" si="9"/>
        <v>420</v>
      </c>
      <c r="K30">
        <f t="shared" si="5"/>
        <v>47.457627118644069</v>
      </c>
    </row>
    <row r="31" spans="1:11" x14ac:dyDescent="0.35">
      <c r="A31" s="76" t="s">
        <v>40</v>
      </c>
      <c r="B31" s="3"/>
      <c r="C31" s="3"/>
      <c r="D31" s="3"/>
      <c r="E31" s="3"/>
      <c r="F31" s="3"/>
      <c r="G31" s="3"/>
      <c r="H31" s="63">
        <v>7052</v>
      </c>
      <c r="I31" s="3">
        <v>4692</v>
      </c>
      <c r="J31" s="70">
        <f t="shared" si="9"/>
        <v>2360</v>
      </c>
      <c r="K31">
        <f t="shared" si="5"/>
        <v>33.465683494044242</v>
      </c>
    </row>
    <row r="36" spans="1:7" x14ac:dyDescent="0.35">
      <c r="A36" t="s">
        <v>55</v>
      </c>
    </row>
    <row r="37" spans="1:7" x14ac:dyDescent="0.35">
      <c r="C37" s="78"/>
      <c r="D37" s="78"/>
      <c r="E37" s="61"/>
      <c r="F37" s="78" t="s">
        <v>124</v>
      </c>
      <c r="G37" s="78"/>
    </row>
    <row r="38" spans="1:7" x14ac:dyDescent="0.35">
      <c r="A38" t="s">
        <v>90</v>
      </c>
      <c r="B38" s="62" t="s">
        <v>125</v>
      </c>
      <c r="C38" s="3" t="s">
        <v>126</v>
      </c>
      <c r="D38" s="3"/>
      <c r="E38" s="3"/>
      <c r="F38" s="62" t="s">
        <v>125</v>
      </c>
      <c r="G38" s="3" t="s">
        <v>126</v>
      </c>
    </row>
    <row r="39" spans="1:7" x14ac:dyDescent="0.35">
      <c r="A39" s="28" t="s">
        <v>3</v>
      </c>
      <c r="B39" s="3"/>
      <c r="C39" s="13"/>
      <c r="D39" s="3"/>
      <c r="E39" s="3"/>
      <c r="F39" s="3"/>
      <c r="G39" s="3"/>
    </row>
    <row r="40" spans="1:7" x14ac:dyDescent="0.35">
      <c r="A40" s="28" t="s">
        <v>6</v>
      </c>
      <c r="B40" s="3"/>
      <c r="C40" s="13"/>
      <c r="D40" s="3"/>
      <c r="E40" s="3"/>
      <c r="F40" s="3"/>
      <c r="G40" s="3"/>
    </row>
    <row r="41" spans="1:7" x14ac:dyDescent="0.35">
      <c r="A41" s="46" t="s">
        <v>7</v>
      </c>
      <c r="B41" s="3">
        <v>3</v>
      </c>
      <c r="C41" s="3">
        <v>21</v>
      </c>
      <c r="D41" s="3"/>
      <c r="E41" s="3"/>
      <c r="F41" s="3">
        <v>3</v>
      </c>
      <c r="G41" s="3">
        <v>21</v>
      </c>
    </row>
    <row r="42" spans="1:7" x14ac:dyDescent="0.35">
      <c r="A42" s="28" t="s">
        <v>8</v>
      </c>
      <c r="B42" s="3">
        <v>4</v>
      </c>
      <c r="C42" s="3">
        <v>21</v>
      </c>
      <c r="D42" s="3"/>
      <c r="E42" s="3"/>
      <c r="F42" s="3">
        <v>4</v>
      </c>
      <c r="G42" s="3">
        <v>21</v>
      </c>
    </row>
    <row r="43" spans="1:7" x14ac:dyDescent="0.35">
      <c r="A43" s="28" t="s">
        <v>12</v>
      </c>
      <c r="B43" s="3"/>
      <c r="C43" s="3"/>
      <c r="D43" s="3"/>
      <c r="E43" s="3"/>
      <c r="F43" s="3"/>
      <c r="G43" s="3"/>
    </row>
    <row r="44" spans="1:7" x14ac:dyDescent="0.35">
      <c r="A44" s="46" t="s">
        <v>13</v>
      </c>
      <c r="B44" s="3"/>
      <c r="C44" s="3">
        <v>9</v>
      </c>
      <c r="D44" s="3"/>
      <c r="E44" s="3"/>
      <c r="F44" s="3"/>
      <c r="G44" s="3">
        <v>9</v>
      </c>
    </row>
    <row r="45" spans="1:7" x14ac:dyDescent="0.35">
      <c r="A45" s="28" t="s">
        <v>14</v>
      </c>
      <c r="B45" s="3"/>
      <c r="C45" s="3"/>
      <c r="D45" s="3"/>
      <c r="E45" s="3"/>
      <c r="F45" s="3"/>
      <c r="G45" s="3"/>
    </row>
    <row r="46" spans="1:7" x14ac:dyDescent="0.35">
      <c r="A46" s="28" t="s">
        <v>15</v>
      </c>
      <c r="B46" s="3">
        <v>7</v>
      </c>
      <c r="C46" s="3">
        <v>31</v>
      </c>
      <c r="D46" s="3"/>
      <c r="E46" s="3"/>
      <c r="F46" s="3">
        <v>7</v>
      </c>
      <c r="G46" s="3">
        <v>31</v>
      </c>
    </row>
    <row r="47" spans="1:7" x14ac:dyDescent="0.35">
      <c r="A47" s="28" t="s">
        <v>16</v>
      </c>
      <c r="B47" s="3"/>
      <c r="C47" s="3"/>
      <c r="D47" s="3"/>
      <c r="E47" s="3"/>
      <c r="F47" s="3"/>
      <c r="G47" s="3"/>
    </row>
    <row r="48" spans="1:7" x14ac:dyDescent="0.35">
      <c r="A48" s="28" t="s">
        <v>17</v>
      </c>
      <c r="B48" s="3"/>
      <c r="C48" s="3"/>
      <c r="D48" s="3"/>
      <c r="E48" s="3"/>
      <c r="F48" s="3"/>
      <c r="G48" s="3"/>
    </row>
    <row r="49" spans="1:7" x14ac:dyDescent="0.35">
      <c r="A49" s="46" t="s">
        <v>18</v>
      </c>
      <c r="B49" s="3">
        <v>6</v>
      </c>
      <c r="C49" s="3">
        <v>12</v>
      </c>
      <c r="D49" s="3"/>
      <c r="E49" s="3"/>
      <c r="F49" s="3">
        <v>6</v>
      </c>
      <c r="G49" s="3">
        <v>12</v>
      </c>
    </row>
    <row r="50" spans="1:7" x14ac:dyDescent="0.35">
      <c r="A50" s="46" t="s">
        <v>19</v>
      </c>
      <c r="B50" s="3"/>
      <c r="C50" s="13"/>
      <c r="D50" s="3"/>
      <c r="E50" s="3"/>
      <c r="F50" s="3"/>
      <c r="G50" s="3"/>
    </row>
    <row r="51" spans="1:7" x14ac:dyDescent="0.35">
      <c r="A51" s="28" t="s">
        <v>20</v>
      </c>
      <c r="B51" s="3"/>
      <c r="C51" s="13"/>
      <c r="D51" s="3"/>
      <c r="E51" s="3"/>
      <c r="F51" s="3"/>
      <c r="G51" s="3"/>
    </row>
    <row r="53" spans="1:7" x14ac:dyDescent="0.35">
      <c r="C53" s="2"/>
    </row>
    <row r="54" spans="1:7" x14ac:dyDescent="0.35">
      <c r="C54" s="2"/>
    </row>
    <row r="56" spans="1:7" x14ac:dyDescent="0.35">
      <c r="A56" t="s">
        <v>89</v>
      </c>
      <c r="C56" s="78"/>
      <c r="D56" s="78"/>
      <c r="E56" s="61"/>
      <c r="F56" s="78" t="s">
        <v>124</v>
      </c>
      <c r="G56" s="78"/>
    </row>
    <row r="57" spans="1:7" x14ac:dyDescent="0.35">
      <c r="A57">
        <v>2023</v>
      </c>
      <c r="B57" s="62" t="s">
        <v>125</v>
      </c>
      <c r="C57" s="3" t="s">
        <v>126</v>
      </c>
      <c r="D57" s="3"/>
      <c r="E57" s="3"/>
      <c r="F57" s="62" t="s">
        <v>125</v>
      </c>
      <c r="G57" s="3" t="s">
        <v>126</v>
      </c>
    </row>
    <row r="58" spans="1:7" x14ac:dyDescent="0.35">
      <c r="A58" s="18" t="s">
        <v>32</v>
      </c>
      <c r="B58" s="3"/>
      <c r="C58" s="3"/>
      <c r="D58" s="3"/>
      <c r="E58" s="3"/>
      <c r="F58" s="3"/>
      <c r="G58" s="3"/>
    </row>
    <row r="59" spans="1:7" x14ac:dyDescent="0.35">
      <c r="A59" s="18" t="s">
        <v>33</v>
      </c>
      <c r="B59" s="3"/>
      <c r="C59" s="3"/>
      <c r="D59" s="3"/>
      <c r="E59" s="3"/>
      <c r="F59" s="3"/>
      <c r="G59" s="3"/>
    </row>
    <row r="60" spans="1:7" x14ac:dyDescent="0.35">
      <c r="A60" s="18" t="s">
        <v>34</v>
      </c>
      <c r="B60" s="3"/>
      <c r="C60" s="3"/>
      <c r="D60" s="3"/>
      <c r="E60" s="3"/>
      <c r="F60" s="3"/>
      <c r="G60" s="3"/>
    </row>
    <row r="61" spans="1:7" x14ac:dyDescent="0.35">
      <c r="A61" s="18" t="s">
        <v>35</v>
      </c>
      <c r="B61" s="3"/>
      <c r="C61" s="3"/>
      <c r="D61" s="3"/>
      <c r="E61" s="3"/>
      <c r="F61" s="3"/>
      <c r="G61" s="3"/>
    </row>
    <row r="62" spans="1:7" x14ac:dyDescent="0.35">
      <c r="A62" s="18" t="s">
        <v>36</v>
      </c>
      <c r="B62" s="3"/>
      <c r="C62" s="3"/>
      <c r="D62" s="3"/>
      <c r="E62" s="3"/>
      <c r="F62" s="3"/>
      <c r="G62" s="3"/>
    </row>
    <row r="63" spans="1:7" x14ac:dyDescent="0.35">
      <c r="A63" s="18" t="s">
        <v>37</v>
      </c>
      <c r="B63" s="3"/>
      <c r="C63" s="3"/>
      <c r="D63" s="3"/>
      <c r="E63" s="3"/>
      <c r="F63" s="3"/>
      <c r="G63" s="3"/>
    </row>
    <row r="64" spans="1:7" x14ac:dyDescent="0.35">
      <c r="A64" s="3" t="s">
        <v>38</v>
      </c>
      <c r="B64" s="3"/>
      <c r="C64" s="3">
        <v>9</v>
      </c>
      <c r="D64" s="3"/>
      <c r="E64" s="3"/>
      <c r="F64" s="3"/>
      <c r="G64" s="3">
        <v>9</v>
      </c>
    </row>
    <row r="65" spans="1:7" x14ac:dyDescent="0.35">
      <c r="A65" s="3" t="s">
        <v>39</v>
      </c>
      <c r="B65" s="3"/>
      <c r="C65" s="3">
        <v>3</v>
      </c>
      <c r="D65" s="3"/>
      <c r="E65" s="3"/>
      <c r="F65" s="3"/>
      <c r="G65" s="3">
        <v>3</v>
      </c>
    </row>
    <row r="71" spans="1:7" x14ac:dyDescent="0.35">
      <c r="A71" s="24" t="s">
        <v>90</v>
      </c>
      <c r="B71" t="s">
        <v>140</v>
      </c>
      <c r="C71" t="s">
        <v>141</v>
      </c>
    </row>
    <row r="72" spans="1:7" x14ac:dyDescent="0.35">
      <c r="A72" s="80" t="s">
        <v>142</v>
      </c>
      <c r="B72" s="3">
        <v>325</v>
      </c>
      <c r="C72" s="3">
        <v>371</v>
      </c>
    </row>
    <row r="73" spans="1:7" x14ac:dyDescent="0.35">
      <c r="A73" s="81" t="s">
        <v>144</v>
      </c>
      <c r="B73" s="3">
        <v>105</v>
      </c>
      <c r="C73" s="3">
        <v>364</v>
      </c>
    </row>
    <row r="74" spans="1:7" x14ac:dyDescent="0.35">
      <c r="A74" s="81" t="s">
        <v>143</v>
      </c>
      <c r="B74" s="3">
        <v>208</v>
      </c>
      <c r="C74" s="3">
        <v>365</v>
      </c>
    </row>
    <row r="75" spans="1:7" x14ac:dyDescent="0.35">
      <c r="A75" s="81" t="s">
        <v>20</v>
      </c>
      <c r="B75" s="3">
        <v>284</v>
      </c>
      <c r="C75" s="3">
        <v>370</v>
      </c>
    </row>
    <row r="76" spans="1:7" x14ac:dyDescent="0.35">
      <c r="A76" s="82"/>
    </row>
    <row r="77" spans="1:7" x14ac:dyDescent="0.35">
      <c r="A77" s="24" t="s">
        <v>89</v>
      </c>
    </row>
    <row r="78" spans="1:7" x14ac:dyDescent="0.35">
      <c r="A78" s="83" t="s">
        <v>40</v>
      </c>
      <c r="B78" s="3" t="s">
        <v>145</v>
      </c>
      <c r="C78" s="3">
        <v>368</v>
      </c>
    </row>
  </sheetData>
  <mergeCells count="8">
    <mergeCell ref="C56:D56"/>
    <mergeCell ref="F56:G56"/>
    <mergeCell ref="F1:G1"/>
    <mergeCell ref="F21:G21"/>
    <mergeCell ref="C21:D21"/>
    <mergeCell ref="C1:D1"/>
    <mergeCell ref="C37:D37"/>
    <mergeCell ref="F37:G37"/>
  </mergeCells>
  <conditionalFormatting sqref="K1:K1048576">
    <cfRule type="cellIs" dxfId="1" priority="1" operator="lessThan">
      <formula>25</formula>
    </cfRule>
    <cfRule type="cellIs" dxfId="0" priority="2" operator="greaterThan">
      <formula>32.9976533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2025-03-18T08:52:28Z</cp:lastPrinted>
  <dcterms:created xsi:type="dcterms:W3CDTF">2024-07-26T11:38:55Z</dcterms:created>
  <dcterms:modified xsi:type="dcterms:W3CDTF">2025-03-27T10:32:49Z</dcterms:modified>
</cp:coreProperties>
</file>