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\\192.168.150.150\public\02 WW6\CARO\CARO BUREAU\ADMINISTRATIF\AFG\MISES EN BT\"/>
    </mc:Choice>
  </mc:AlternateContent>
  <xr:revisionPtr revIDLastSave="0" documentId="13_ncr:1_{F637C238-63E0-4746-92F0-5E8488AA5ADC}" xr6:coauthVersionLast="47" xr6:coauthVersionMax="47" xr10:uidLastSave="{00000000-0000-0000-0000-000000000000}"/>
  <bookViews>
    <workbookView xWindow="43070" yWindow="4100" windowWidth="28800" windowHeight="15340" activeTab="1" xr2:uid="{F5F19158-726B-4B2B-8332-CED03C1D5589}"/>
  </bookViews>
  <sheets>
    <sheet name="Feuil1" sheetId="1" r:id="rId1"/>
    <sheet name="Feuil2" sheetId="2" r:id="rId2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7" i="2" l="1"/>
  <c r="Q28" i="2"/>
  <c r="Q29" i="2"/>
  <c r="Q30" i="2"/>
  <c r="Q31" i="2"/>
  <c r="Q32" i="2"/>
  <c r="Q33" i="2"/>
  <c r="Q34" i="2"/>
  <c r="Q35" i="2"/>
  <c r="Q36" i="2"/>
  <c r="Q37" i="2"/>
  <c r="P28" i="2"/>
  <c r="P29" i="2"/>
  <c r="P30" i="2"/>
  <c r="P31" i="2"/>
  <c r="P32" i="2"/>
  <c r="P33" i="2"/>
  <c r="P34" i="2"/>
  <c r="P35" i="2"/>
  <c r="P36" i="2"/>
  <c r="P37" i="2"/>
  <c r="P27" i="2"/>
  <c r="O28" i="2"/>
  <c r="O29" i="2"/>
  <c r="O30" i="2"/>
  <c r="O31" i="2"/>
  <c r="O32" i="2"/>
  <c r="O33" i="2"/>
  <c r="O34" i="2"/>
  <c r="O35" i="2"/>
  <c r="O36" i="2"/>
  <c r="O37" i="2"/>
  <c r="O27" i="2"/>
  <c r="N28" i="2"/>
  <c r="N29" i="2"/>
  <c r="N30" i="2"/>
  <c r="N31" i="2"/>
  <c r="N32" i="2"/>
  <c r="N33" i="2"/>
  <c r="N34" i="2"/>
  <c r="N35" i="2"/>
  <c r="N36" i="2"/>
  <c r="N37" i="2"/>
  <c r="N27" i="2"/>
  <c r="G28" i="2"/>
  <c r="G29" i="2"/>
  <c r="G30" i="2"/>
  <c r="H30" i="2" s="1"/>
  <c r="I30" i="2" s="1"/>
  <c r="J30" i="2" s="1"/>
  <c r="G32" i="2"/>
  <c r="G33" i="2"/>
  <c r="G34" i="2"/>
  <c r="G35" i="2"/>
  <c r="G36" i="2"/>
  <c r="G37" i="2"/>
  <c r="H37" i="2" s="1"/>
  <c r="G27" i="2"/>
  <c r="H27" i="2" s="1"/>
  <c r="I27" i="2" s="1"/>
  <c r="J27" i="2" s="1"/>
  <c r="H28" i="2"/>
  <c r="H29" i="2"/>
  <c r="I29" i="2" s="1"/>
  <c r="J29" i="2" s="1"/>
  <c r="H31" i="2"/>
  <c r="I31" i="2" s="1"/>
  <c r="J31" i="2" s="1"/>
  <c r="H32" i="2"/>
  <c r="I32" i="2" s="1"/>
  <c r="J32" i="2" s="1"/>
  <c r="H33" i="2"/>
  <c r="I33" i="2" s="1"/>
  <c r="J33" i="2" s="1"/>
  <c r="H34" i="2"/>
  <c r="I34" i="2" s="1"/>
  <c r="J34" i="2" s="1"/>
  <c r="H35" i="2"/>
  <c r="I35" i="2" s="1"/>
  <c r="J35" i="2" s="1"/>
  <c r="H36" i="2"/>
  <c r="I36" i="2" s="1"/>
  <c r="J36" i="2" s="1"/>
  <c r="L28" i="2"/>
  <c r="L29" i="2"/>
  <c r="L30" i="2"/>
  <c r="L31" i="2"/>
  <c r="L32" i="2"/>
  <c r="L33" i="2"/>
  <c r="L34" i="2"/>
  <c r="L35" i="2"/>
  <c r="L36" i="2"/>
  <c r="L37" i="2"/>
  <c r="L27" i="2"/>
  <c r="B38" i="2"/>
  <c r="C38" i="2"/>
  <c r="D38" i="2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39" i="1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7" i="2"/>
  <c r="M8" i="2"/>
  <c r="K62" i="1"/>
  <c r="M6" i="2"/>
  <c r="J28" i="2" l="1"/>
  <c r="I37" i="2"/>
  <c r="J37" i="2" s="1"/>
  <c r="I28" i="2"/>
  <c r="I40" i="1"/>
  <c r="I41" i="1"/>
  <c r="I42" i="1"/>
  <c r="I43" i="1"/>
  <c r="I44" i="1"/>
  <c r="I46" i="1"/>
  <c r="I47" i="1"/>
  <c r="I48" i="1"/>
  <c r="I49" i="1"/>
  <c r="I50" i="1"/>
  <c r="I51" i="1"/>
  <c r="I52" i="1"/>
  <c r="I53" i="1"/>
  <c r="I54" i="1"/>
  <c r="I55" i="1"/>
  <c r="I56" i="1"/>
  <c r="I57" i="1"/>
  <c r="I39" i="1"/>
  <c r="J48" i="1"/>
  <c r="H41" i="1"/>
  <c r="H106" i="1"/>
  <c r="G106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88" i="1"/>
  <c r="F89" i="1"/>
  <c r="F90" i="1"/>
  <c r="F91" i="1"/>
  <c r="F92" i="1"/>
  <c r="F93" i="1"/>
  <c r="F94" i="1"/>
  <c r="F95" i="1"/>
  <c r="F96" i="1"/>
  <c r="F97" i="1"/>
  <c r="F98" i="1"/>
  <c r="F99" i="1"/>
  <c r="F100" i="1"/>
  <c r="F103" i="1"/>
  <c r="F104" i="1"/>
  <c r="F105" i="1"/>
  <c r="F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88" i="1"/>
  <c r="G48" i="1"/>
  <c r="C23" i="2"/>
  <c r="B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D8" i="2"/>
  <c r="D7" i="2"/>
  <c r="D6" i="2"/>
  <c r="D5" i="2"/>
  <c r="M42" i="1"/>
  <c r="T57" i="1"/>
  <c r="T54" i="1"/>
  <c r="T52" i="1"/>
  <c r="T51" i="1"/>
  <c r="T50" i="1"/>
  <c r="T49" i="1"/>
  <c r="T47" i="1"/>
  <c r="T46" i="1"/>
  <c r="T40" i="1"/>
  <c r="T39" i="1"/>
  <c r="E72" i="1"/>
  <c r="N72" i="1" s="1"/>
  <c r="E73" i="1"/>
  <c r="N73" i="1" s="1"/>
  <c r="E74" i="1"/>
  <c r="N74" i="1" s="1"/>
  <c r="E75" i="1"/>
  <c r="N75" i="1" s="1"/>
  <c r="E76" i="1"/>
  <c r="E77" i="1"/>
  <c r="N77" i="1" s="1"/>
  <c r="E78" i="1"/>
  <c r="N78" i="1" s="1"/>
  <c r="E71" i="1"/>
  <c r="N71" i="1" s="1"/>
  <c r="T41" i="1"/>
  <c r="T42" i="1"/>
  <c r="T43" i="1"/>
  <c r="T44" i="1"/>
  <c r="T45" i="1"/>
  <c r="T53" i="1"/>
  <c r="T55" i="1"/>
  <c r="T56" i="1"/>
  <c r="N76" i="1"/>
  <c r="F57" i="1"/>
  <c r="G57" i="1" s="1"/>
  <c r="M57" i="1" s="1"/>
  <c r="F56" i="1"/>
  <c r="G56" i="1" s="1"/>
  <c r="M56" i="1" s="1"/>
  <c r="F55" i="1"/>
  <c r="G55" i="1" s="1"/>
  <c r="M55" i="1" s="1"/>
  <c r="F54" i="1"/>
  <c r="G54" i="1" s="1"/>
  <c r="M54" i="1" s="1"/>
  <c r="F53" i="1"/>
  <c r="G53" i="1" s="1"/>
  <c r="M53" i="1" s="1"/>
  <c r="F52" i="1"/>
  <c r="G52" i="1" s="1"/>
  <c r="M52" i="1" s="1"/>
  <c r="F51" i="1"/>
  <c r="G51" i="1" s="1"/>
  <c r="M51" i="1" s="1"/>
  <c r="F50" i="1"/>
  <c r="G50" i="1" s="1"/>
  <c r="M50" i="1" s="1"/>
  <c r="F49" i="1"/>
  <c r="G49" i="1" s="1"/>
  <c r="M49" i="1" s="1"/>
  <c r="F47" i="1"/>
  <c r="G47" i="1" s="1"/>
  <c r="M47" i="1" s="1"/>
  <c r="F46" i="1"/>
  <c r="G46" i="1" s="1"/>
  <c r="M46" i="1" s="1"/>
  <c r="F45" i="1"/>
  <c r="G45" i="1" s="1"/>
  <c r="M45" i="1" s="1"/>
  <c r="F44" i="1"/>
  <c r="G44" i="1" s="1"/>
  <c r="M44" i="1" s="1"/>
  <c r="F43" i="1"/>
  <c r="G43" i="1" s="1"/>
  <c r="M43" i="1" s="1"/>
  <c r="F42" i="1"/>
  <c r="G42" i="1" s="1"/>
  <c r="F41" i="1"/>
  <c r="G41" i="1" s="1"/>
  <c r="M41" i="1" s="1"/>
  <c r="F40" i="1"/>
  <c r="G40" i="1" s="1"/>
  <c r="M40" i="1" s="1"/>
  <c r="F39" i="1"/>
  <c r="G39" i="1" s="1"/>
  <c r="M39" i="1" s="1"/>
  <c r="D80" i="1"/>
  <c r="C82" i="1" s="1"/>
  <c r="D32" i="1"/>
  <c r="E32" i="1" s="1"/>
  <c r="D29" i="1"/>
  <c r="C61" i="1" s="1"/>
  <c r="K61" i="1" s="1"/>
  <c r="D27" i="1"/>
  <c r="C62" i="1" s="1"/>
  <c r="E24" i="1"/>
  <c r="E23" i="1"/>
  <c r="E22" i="1"/>
  <c r="E21" i="1"/>
  <c r="E20" i="1"/>
  <c r="E19" i="1"/>
  <c r="E18" i="1"/>
  <c r="E17" i="1"/>
  <c r="E16" i="1"/>
  <c r="E12" i="1"/>
  <c r="E11" i="1"/>
  <c r="E10" i="1"/>
  <c r="E8" i="1"/>
  <c r="E7" i="1"/>
  <c r="D23" i="2" l="1"/>
  <c r="E27" i="1"/>
  <c r="E29" i="1"/>
  <c r="M58" i="1"/>
  <c r="K58" i="1"/>
  <c r="H49" i="1"/>
  <c r="J49" i="1" s="1"/>
  <c r="H43" i="1"/>
  <c r="J43" i="1" s="1"/>
  <c r="H56" i="1"/>
  <c r="J56" i="1" s="1"/>
  <c r="H42" i="1"/>
  <c r="J42" i="1" s="1"/>
  <c r="D14" i="1"/>
  <c r="E14" i="1" s="1"/>
  <c r="H39" i="1"/>
  <c r="J39" i="1" s="1"/>
  <c r="H55" i="1"/>
  <c r="J55" i="1" s="1"/>
  <c r="H50" i="1"/>
  <c r="J50" i="1" s="1"/>
  <c r="H45" i="1"/>
  <c r="H57" i="1"/>
  <c r="J57" i="1" s="1"/>
  <c r="H44" i="1"/>
  <c r="J44" i="1" s="1"/>
  <c r="J41" i="1"/>
  <c r="H53" i="1"/>
  <c r="J53" i="1" s="1"/>
  <c r="H40" i="1"/>
  <c r="J40" i="1" s="1"/>
  <c r="H54" i="1"/>
  <c r="J54" i="1" s="1"/>
  <c r="H52" i="1"/>
  <c r="J52" i="1" s="1"/>
  <c r="D13" i="1"/>
  <c r="E13" i="1" s="1"/>
  <c r="H51" i="1"/>
  <c r="J51" i="1" s="1"/>
  <c r="F61" i="1"/>
  <c r="H47" i="1"/>
  <c r="J47" i="1" s="1"/>
  <c r="F63" i="1"/>
  <c r="H46" i="1"/>
  <c r="J46" i="1" s="1"/>
  <c r="C63" i="1"/>
  <c r="D15" i="1"/>
  <c r="E15" i="1" s="1"/>
  <c r="D79" i="1"/>
  <c r="E79" i="1" s="1"/>
  <c r="N79" i="1" s="1"/>
  <c r="I45" i="1" l="1"/>
  <c r="J45" i="1" s="1"/>
  <c r="D9" i="1"/>
  <c r="E9" i="1" s="1"/>
  <c r="E25" i="1" s="1"/>
</calcChain>
</file>

<file path=xl/sharedStrings.xml><?xml version="1.0" encoding="utf-8"?>
<sst xmlns="http://schemas.openxmlformats.org/spreadsheetml/2006/main" count="233" uniqueCount="128">
  <si>
    <t>CALCUL DES USURES DOMAINE</t>
  </si>
  <si>
    <t>Tirage en Bt</t>
  </si>
  <si>
    <t>Beaune 1er cru les montrevenots</t>
  </si>
  <si>
    <t>Beaune 1er cru les boucherottes</t>
  </si>
  <si>
    <t>Bourgogne Pinot noir</t>
  </si>
  <si>
    <t>usure</t>
  </si>
  <si>
    <t>Chambolle musiny</t>
  </si>
  <si>
    <t>Clos Vougeot</t>
  </si>
  <si>
    <t>Echezeaux</t>
  </si>
  <si>
    <t>Bourgogne Hautes Cotes de Nuits rouge</t>
  </si>
  <si>
    <t>Bourgogne Hautes Cotes de Nuits blancs</t>
  </si>
  <si>
    <t>Moulin a vent</t>
  </si>
  <si>
    <t>Pommard 1er cru les Arvelets</t>
  </si>
  <si>
    <t>Pommard 1er cru les chanlins</t>
  </si>
  <si>
    <t>Pommard 1er cru les pezerolles</t>
  </si>
  <si>
    <t>Richebourg</t>
  </si>
  <si>
    <t>Savigny 1er cru le clos des Guettes</t>
  </si>
  <si>
    <t>Signature VSIG</t>
  </si>
  <si>
    <t>Vosne Romanée aux reas</t>
  </si>
  <si>
    <t>Vosne romanée maizieres</t>
  </si>
  <si>
    <t>Vosne romanée les Chalandins</t>
  </si>
  <si>
    <t>BG</t>
  </si>
  <si>
    <t>HN</t>
  </si>
  <si>
    <t>Total gamay</t>
  </si>
  <si>
    <t xml:space="preserve"> avant usure</t>
  </si>
  <si>
    <t>En Litres</t>
  </si>
  <si>
    <t>Recolte nette des ventes</t>
  </si>
  <si>
    <t>Avant usure</t>
  </si>
  <si>
    <t>Quantités en Litres</t>
  </si>
  <si>
    <t xml:space="preserve">Savigny les beaune </t>
  </si>
  <si>
    <t>Monthelie</t>
  </si>
  <si>
    <t>Gevrey Chambertin</t>
  </si>
  <si>
    <t>Gevrey 1er cru combe au moine</t>
  </si>
  <si>
    <t>Aloxe corton 1er cru les Valozieres</t>
  </si>
  <si>
    <t>Volnay 1er cru les brouillards</t>
  </si>
  <si>
    <t>Chambolle Musigny1er cru Aux Echanges</t>
  </si>
  <si>
    <t>Corton Grand cu rouge</t>
  </si>
  <si>
    <t>Bourgogne</t>
  </si>
  <si>
    <t>Total en litres</t>
  </si>
  <si>
    <t>Usure</t>
  </si>
  <si>
    <t>litres</t>
  </si>
  <si>
    <t>A prendre sur BG</t>
  </si>
  <si>
    <t>Reste a embouteiller</t>
  </si>
  <si>
    <t>MOUL</t>
  </si>
  <si>
    <t>HNB</t>
  </si>
  <si>
    <t>Objectif</t>
  </si>
  <si>
    <t>en litres</t>
  </si>
  <si>
    <t>Mise</t>
  </si>
  <si>
    <t>usure dec</t>
  </si>
  <si>
    <t>usure totale</t>
  </si>
  <si>
    <t>reste pour mise</t>
  </si>
  <si>
    <t>En BT</t>
  </si>
  <si>
    <t>En BT ou eq bt</t>
  </si>
  <si>
    <t>PROJECTION</t>
  </si>
  <si>
    <t>je decide</t>
  </si>
  <si>
    <t>En %</t>
  </si>
  <si>
    <t>Total blanc</t>
  </si>
  <si>
    <t>toatl rouge</t>
  </si>
  <si>
    <t>Pour juillet je fais 228l et on ajustera en decembre</t>
  </si>
  <si>
    <t>Usure 3%</t>
  </si>
  <si>
    <t>Lie prévue</t>
  </si>
  <si>
    <t>3l/fut</t>
  </si>
  <si>
    <t>reste apres usure</t>
  </si>
  <si>
    <t>A minima</t>
  </si>
  <si>
    <t>ATTENTION COMMANDE DE 600 BOUCHONS NEUTRES FLORA</t>
  </si>
  <si>
    <t>ATTENTION COMMANDE DE 1800 BOUCHONS NEUTRES POUR FLORA</t>
  </si>
  <si>
    <t>Alloués au 04/09/24</t>
  </si>
  <si>
    <t xml:space="preserve">Resterait </t>
  </si>
  <si>
    <t>Solde</t>
  </si>
  <si>
    <t>GRAND FORMATS</t>
  </si>
  <si>
    <t>X</t>
  </si>
  <si>
    <t>Je prends encore 3L de lie</t>
  </si>
  <si>
    <t>ALLOUES AU 19/11/2024</t>
  </si>
  <si>
    <t>recolte 2024</t>
  </si>
  <si>
    <t xml:space="preserve">Pour juillet 25 je propose </t>
  </si>
  <si>
    <t>usure juil 25</t>
  </si>
  <si>
    <t>Nb de Bt</t>
  </si>
  <si>
    <t>estimation</t>
  </si>
  <si>
    <t>Recapitulatif de 2024</t>
  </si>
  <si>
    <t>Pour 2024</t>
  </si>
  <si>
    <t>CALCUL DES USURES NEGOCE model pour 2025</t>
  </si>
  <si>
    <t>prix</t>
  </si>
  <si>
    <t>Total</t>
  </si>
  <si>
    <t>Recapitulatif de 2023</t>
  </si>
  <si>
    <t>mises 2023</t>
  </si>
  <si>
    <t>mises prevues 24</t>
  </si>
  <si>
    <t>on a pris usure de 114l au lieu de 220 car on utilise moins de fts et on a mis la cermaique pour la 1ere année</t>
  </si>
  <si>
    <t>Total blancs domaine à 2%</t>
  </si>
  <si>
    <t>Moulin a vent REALITE VU MP</t>
  </si>
  <si>
    <t>Total rouge domaine 3%</t>
  </si>
  <si>
    <t>ON fait toute usure des rouges sur le HN</t>
  </si>
  <si>
    <t>MAXI</t>
  </si>
  <si>
    <t>EN litre</t>
  </si>
  <si>
    <t xml:space="preserve">apres lie </t>
  </si>
  <si>
    <t>en bt</t>
  </si>
  <si>
    <t>en bt arrondi</t>
  </si>
  <si>
    <t>alloués au 4/11</t>
  </si>
  <si>
    <t>reste</t>
  </si>
  <si>
    <t>PALOMAR</t>
  </si>
  <si>
    <t>BANVILLE</t>
  </si>
  <si>
    <t>VICTORY</t>
  </si>
  <si>
    <t>RESTE</t>
  </si>
  <si>
    <t>alloc</t>
  </si>
  <si>
    <t>avec 3% pertes</t>
  </si>
  <si>
    <t>maxi</t>
  </si>
  <si>
    <t>mini</t>
  </si>
  <si>
    <t xml:space="preserve">solde </t>
  </si>
  <si>
    <t>déjà vendus</t>
  </si>
  <si>
    <t>MOYENNE MISE</t>
  </si>
  <si>
    <t>OBJECTIF IDEAL</t>
  </si>
  <si>
    <t>FAIT PAR CP LE27/01</t>
  </si>
  <si>
    <t>MISES 24</t>
  </si>
  <si>
    <t xml:space="preserve">A minima </t>
  </si>
  <si>
    <t>A maxima sans usure</t>
  </si>
  <si>
    <t>MINI</t>
  </si>
  <si>
    <t>IDEAL</t>
  </si>
  <si>
    <t>Total en BT</t>
  </si>
  <si>
    <t>DEBUT</t>
  </si>
  <si>
    <t>LIE</t>
  </si>
  <si>
    <t>USURE MISE</t>
  </si>
  <si>
    <t>BT</t>
  </si>
  <si>
    <t>LITRES</t>
  </si>
  <si>
    <t>reste ap mise</t>
  </si>
  <si>
    <t>lie</t>
  </si>
  <si>
    <t>usure mise</t>
  </si>
  <si>
    <t>USURE PASSEE</t>
  </si>
  <si>
    <t xml:space="preserve">Je fais plus de perte avec les vins qui sont en 400litres qu'avec les petits en raison de la forme du bac de retenue au fond </t>
  </si>
  <si>
    <t>Ceci explique l'usure plus importante avec les VR CV ET EC ET RB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</si>
</sst>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rgb="FF0070C0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sz val="11"/>
      <color rgb="FF0070C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b/>
      <sz val="11"/>
      <color theme="9"/>
      <name val="Aptos Narrow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3" fillId="0" borderId="0" xfId="0" applyFont="1" applyAlignment="1">
      <alignment horizontal="center"/>
    </xf>
    <xf numFmtId="1" fontId="0" fillId="0" borderId="0" xfId="0" applyNumberFormat="1"/>
    <xf numFmtId="0" fontId="0" fillId="0" borderId="1" xfId="0" applyBorder="1"/>
    <xf numFmtId="1" fontId="0" fillId="0" borderId="1" xfId="0" applyNumberFormat="1" applyBorder="1"/>
    <xf numFmtId="1" fontId="0" fillId="0" borderId="2" xfId="0" applyNumberFormat="1" applyBorder="1"/>
    <xf numFmtId="0" fontId="0" fillId="2" borderId="1" xfId="0" applyFill="1" applyBorder="1"/>
    <xf numFmtId="0" fontId="0" fillId="3" borderId="0" xfId="0" applyFill="1"/>
    <xf numFmtId="1" fontId="3" fillId="5" borderId="0" xfId="0" applyNumberFormat="1" applyFont="1" applyFill="1"/>
    <xf numFmtId="1" fontId="4" fillId="0" borderId="0" xfId="0" applyNumberFormat="1" applyFont="1"/>
    <xf numFmtId="0" fontId="0" fillId="2" borderId="0" xfId="0" applyFill="1"/>
    <xf numFmtId="1" fontId="0" fillId="4" borderId="0" xfId="0" applyNumberFormat="1" applyFill="1"/>
    <xf numFmtId="0" fontId="0" fillId="6" borderId="1" xfId="0" applyFill="1" applyBorder="1"/>
    <xf numFmtId="1" fontId="0" fillId="7" borderId="1" xfId="0" applyNumberFormat="1" applyFill="1" applyBorder="1"/>
    <xf numFmtId="0" fontId="0" fillId="7" borderId="1" xfId="0" applyFill="1" applyBorder="1"/>
    <xf numFmtId="0" fontId="3" fillId="7" borderId="0" xfId="0" applyFont="1" applyFill="1" applyAlignment="1">
      <alignment horizontal="center"/>
    </xf>
    <xf numFmtId="1" fontId="0" fillId="7" borderId="0" xfId="0" applyNumberFormat="1" applyFill="1"/>
    <xf numFmtId="0" fontId="2" fillId="0" borderId="1" xfId="0" applyFont="1" applyBorder="1"/>
    <xf numFmtId="0" fontId="3" fillId="0" borderId="3" xfId="0" applyFont="1" applyBorder="1" applyAlignment="1">
      <alignment horizontal="center"/>
    </xf>
    <xf numFmtId="9" fontId="0" fillId="0" borderId="0" xfId="0" applyNumberFormat="1"/>
    <xf numFmtId="0" fontId="4" fillId="0" borderId="0" xfId="0" applyFont="1"/>
    <xf numFmtId="0" fontId="0" fillId="0" borderId="0" xfId="0" applyAlignment="1">
      <alignment horizontal="center"/>
    </xf>
    <xf numFmtId="0" fontId="4" fillId="5" borderId="0" xfId="0" applyFont="1" applyFill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0" fillId="6" borderId="0" xfId="0" applyFill="1"/>
    <xf numFmtId="3" fontId="0" fillId="0" borderId="1" xfId="0" applyNumberFormat="1" applyBorder="1"/>
    <xf numFmtId="0" fontId="0" fillId="7" borderId="0" xfId="0" applyFill="1"/>
    <xf numFmtId="0" fontId="4" fillId="5" borderId="1" xfId="0" applyFont="1" applyFill="1" applyBorder="1"/>
    <xf numFmtId="0" fontId="1" fillId="0" borderId="0" xfId="0" applyFont="1" applyAlignment="1">
      <alignment horizontal="center"/>
    </xf>
    <xf numFmtId="0" fontId="4" fillId="0" borderId="1" xfId="0" applyFont="1" applyBorder="1"/>
    <xf numFmtId="0" fontId="4" fillId="0" borderId="3" xfId="0" applyFont="1" applyBorder="1"/>
    <xf numFmtId="9" fontId="0" fillId="6" borderId="3" xfId="0" applyNumberFormat="1" applyFill="1" applyBorder="1"/>
    <xf numFmtId="0" fontId="3" fillId="6" borderId="0" xfId="0" applyFont="1" applyFill="1" applyAlignment="1">
      <alignment horizontal="center"/>
    </xf>
    <xf numFmtId="1" fontId="0" fillId="6" borderId="0" xfId="0" applyNumberFormat="1" applyFill="1"/>
    <xf numFmtId="1" fontId="0" fillId="6" borderId="1" xfId="0" applyNumberFormat="1" applyFill="1" applyBorder="1"/>
    <xf numFmtId="1" fontId="0" fillId="8" borderId="1" xfId="0" applyNumberFormat="1" applyFill="1" applyBorder="1"/>
    <xf numFmtId="0" fontId="3" fillId="8" borderId="0" xfId="0" applyFont="1" applyFill="1" applyAlignment="1">
      <alignment horizontal="center"/>
    </xf>
    <xf numFmtId="0" fontId="0" fillId="8" borderId="1" xfId="0" applyFill="1" applyBorder="1"/>
    <xf numFmtId="1" fontId="0" fillId="9" borderId="1" xfId="0" applyNumberFormat="1" applyFill="1" applyBorder="1"/>
    <xf numFmtId="0" fontId="1" fillId="0" borderId="1" xfId="0" applyFont="1" applyBorder="1"/>
    <xf numFmtId="1" fontId="4" fillId="0" borderId="1" xfId="0" applyNumberFormat="1" applyFont="1" applyBorder="1"/>
    <xf numFmtId="1" fontId="1" fillId="0" borderId="0" xfId="0" applyNumberFormat="1" applyFont="1" applyAlignment="1">
      <alignment horizontal="center"/>
    </xf>
    <xf numFmtId="1" fontId="4" fillId="5" borderId="0" xfId="0" applyNumberFormat="1" applyFont="1" applyFill="1"/>
    <xf numFmtId="0" fontId="2" fillId="7" borderId="0" xfId="0" applyFont="1" applyFill="1"/>
    <xf numFmtId="0" fontId="2" fillId="3" borderId="0" xfId="0" applyFont="1" applyFill="1"/>
    <xf numFmtId="1" fontId="1" fillId="0" borderId="1" xfId="0" applyNumberFormat="1" applyFont="1" applyBorder="1" applyAlignment="1">
      <alignment horizontal="center"/>
    </xf>
    <xf numFmtId="1" fontId="1" fillId="0" borderId="1" xfId="0" applyNumberFormat="1" applyFont="1" applyBorder="1"/>
    <xf numFmtId="0" fontId="5" fillId="0" borderId="0" xfId="0" applyFont="1"/>
    <xf numFmtId="0" fontId="6" fillId="0" borderId="1" xfId="0" applyFont="1" applyBorder="1"/>
    <xf numFmtId="3" fontId="4" fillId="0" borderId="0" xfId="0" applyNumberFormat="1" applyFont="1"/>
    <xf numFmtId="0" fontId="0" fillId="5" borderId="1" xfId="0" applyFill="1" applyBorder="1"/>
    <xf numFmtId="0" fontId="4" fillId="7" borderId="0" xfId="0" applyFont="1" applyFill="1"/>
    <xf numFmtId="0" fontId="1" fillId="0" borderId="0" xfId="0" applyFont="1"/>
    <xf numFmtId="0" fontId="2" fillId="5" borderId="1" xfId="0" applyFont="1" applyFill="1" applyBorder="1"/>
    <xf numFmtId="0" fontId="0" fillId="10" borderId="0" xfId="0" applyFill="1"/>
    <xf numFmtId="0" fontId="0" fillId="10" borderId="0" xfId="0" applyFill="1" applyAlignment="1">
      <alignment horizontal="center"/>
    </xf>
    <xf numFmtId="0" fontId="2" fillId="10" borderId="0" xfId="0" applyFont="1" applyFill="1" applyAlignment="1">
      <alignment horizontal="center"/>
    </xf>
    <xf numFmtId="0" fontId="0" fillId="10" borderId="1" xfId="0" applyFill="1" applyBorder="1"/>
    <xf numFmtId="0" fontId="1" fillId="10" borderId="1" xfId="0" applyFont="1" applyFill="1" applyBorder="1"/>
    <xf numFmtId="0" fontId="2" fillId="10" borderId="1" xfId="0" applyFont="1" applyFill="1" applyBorder="1"/>
    <xf numFmtId="16" fontId="0" fillId="0" borderId="0" xfId="0" applyNumberFormat="1"/>
    <xf numFmtId="0" fontId="0" fillId="0" borderId="3" xfId="0" applyBorder="1"/>
    <xf numFmtId="0" fontId="4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7" fillId="0" borderId="1" xfId="0" applyFont="1" applyBorder="1"/>
    <xf numFmtId="0" fontId="8" fillId="5" borderId="1" xfId="0" applyFont="1" applyFill="1" applyBorder="1"/>
    <xf numFmtId="0" fontId="4" fillId="0" borderId="1" xfId="0" applyFont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0" fontId="7" fillId="7" borderId="0" xfId="0" applyFont="1" applyFill="1"/>
    <xf numFmtId="0" fontId="1" fillId="0" borderId="1" xfId="0" applyFont="1" applyBorder="1" applyAlignment="1">
      <alignment horizontal="center"/>
    </xf>
    <xf numFmtId="0" fontId="9" fillId="0" borderId="0" xfId="0" applyFont="1"/>
    <xf numFmtId="0" fontId="9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942D18-5D3E-48D5-9A53-97B3FC5EA6B9}">
  <sheetPr>
    <pageSetUpPr fitToPage="1"/>
  </sheetPr>
  <dimension ref="A1:V106"/>
  <sheetViews>
    <sheetView topLeftCell="A29" zoomScale="115" zoomScaleNormal="115" workbookViewId="0">
      <selection activeCell="H42" sqref="H42"/>
    </sheetView>
  </sheetViews>
  <sheetFormatPr baseColWidth="10" defaultRowHeight="14.5" x14ac:dyDescent="0.35"/>
  <cols>
    <col min="1" max="1" width="33.81640625" bestFit="1" customWidth="1"/>
    <col min="4" max="4" width="16.90625" customWidth="1"/>
    <col min="7" max="7" width="15" customWidth="1"/>
    <col min="10" max="10" width="13.08984375" customWidth="1"/>
    <col min="14" max="14" width="33.81640625" bestFit="1" customWidth="1"/>
  </cols>
  <sheetData>
    <row r="1" spans="1:10" x14ac:dyDescent="0.35">
      <c r="A1" t="s">
        <v>0</v>
      </c>
    </row>
    <row r="4" spans="1:10" x14ac:dyDescent="0.35">
      <c r="A4" s="1"/>
      <c r="B4" s="1"/>
      <c r="C4" s="1"/>
      <c r="D4" s="1"/>
      <c r="E4" s="2"/>
    </row>
    <row r="5" spans="1:10" x14ac:dyDescent="0.35">
      <c r="A5" s="1"/>
      <c r="B5" s="1"/>
      <c r="C5" s="1" t="s">
        <v>25</v>
      </c>
      <c r="D5" t="s">
        <v>42</v>
      </c>
      <c r="E5" s="2" t="s">
        <v>91</v>
      </c>
    </row>
    <row r="6" spans="1:10" x14ac:dyDescent="0.35">
      <c r="A6">
        <v>2024</v>
      </c>
      <c r="C6" t="s">
        <v>24</v>
      </c>
      <c r="D6" t="s">
        <v>28</v>
      </c>
      <c r="E6" s="2" t="s">
        <v>1</v>
      </c>
    </row>
    <row r="7" spans="1:10" x14ac:dyDescent="0.35">
      <c r="A7" s="12" t="s">
        <v>2</v>
      </c>
      <c r="B7" s="12"/>
      <c r="C7" s="12"/>
      <c r="D7" s="12">
        <v>1044</v>
      </c>
      <c r="E7" s="4">
        <f t="shared" ref="E7:E24" si="0">(D7-(D7/228*5))*0.99/0.75</f>
        <v>1347.8589473684212</v>
      </c>
      <c r="I7" s="4"/>
      <c r="J7" s="2"/>
    </row>
    <row r="8" spans="1:10" x14ac:dyDescent="0.35">
      <c r="A8" s="3" t="s">
        <v>3</v>
      </c>
      <c r="B8" s="3"/>
      <c r="C8" s="3"/>
      <c r="D8" s="14">
        <v>684</v>
      </c>
      <c r="E8" s="5">
        <f t="shared" si="0"/>
        <v>883.07999999999993</v>
      </c>
      <c r="I8" s="4"/>
      <c r="J8" s="2"/>
    </row>
    <row r="9" spans="1:10" x14ac:dyDescent="0.35">
      <c r="A9" s="3" t="s">
        <v>4</v>
      </c>
      <c r="B9" s="3"/>
      <c r="C9" s="3">
        <v>2056</v>
      </c>
      <c r="D9" s="6">
        <f>C9-H27</f>
        <v>2056</v>
      </c>
      <c r="E9" s="4">
        <f t="shared" si="0"/>
        <v>2654.4042105263156</v>
      </c>
      <c r="F9" t="s">
        <v>5</v>
      </c>
      <c r="I9" s="4"/>
      <c r="J9" s="2"/>
    </row>
    <row r="10" spans="1:10" x14ac:dyDescent="0.35">
      <c r="A10" s="3" t="s">
        <v>6</v>
      </c>
      <c r="B10" s="3"/>
      <c r="C10" s="3"/>
      <c r="D10" s="14">
        <v>478</v>
      </c>
      <c r="E10" s="4">
        <f t="shared" si="0"/>
        <v>617.12315789473678</v>
      </c>
      <c r="I10" s="4"/>
      <c r="J10" s="2"/>
    </row>
    <row r="11" spans="1:10" x14ac:dyDescent="0.35">
      <c r="A11" s="3" t="s">
        <v>7</v>
      </c>
      <c r="B11" s="3"/>
      <c r="C11" s="3"/>
      <c r="D11" s="14">
        <v>856</v>
      </c>
      <c r="E11" s="4">
        <f t="shared" si="0"/>
        <v>1105.1410526315788</v>
      </c>
      <c r="I11" s="4"/>
      <c r="J11" s="2"/>
    </row>
    <row r="12" spans="1:10" x14ac:dyDescent="0.35">
      <c r="A12" s="3" t="s">
        <v>8</v>
      </c>
      <c r="B12" s="3"/>
      <c r="C12" s="3"/>
      <c r="D12" s="14">
        <v>1028</v>
      </c>
      <c r="E12" s="4">
        <f t="shared" si="0"/>
        <v>1327.2021052631578</v>
      </c>
      <c r="I12" s="4"/>
      <c r="J12" s="2"/>
    </row>
    <row r="13" spans="1:10" x14ac:dyDescent="0.35">
      <c r="A13" s="3" t="s">
        <v>9</v>
      </c>
      <c r="B13" s="3"/>
      <c r="C13" s="3">
        <v>5012</v>
      </c>
      <c r="D13" s="6">
        <f>C13-K27</f>
        <v>5012</v>
      </c>
      <c r="E13" s="4">
        <f t="shared" si="0"/>
        <v>6470.7557894736829</v>
      </c>
      <c r="F13" t="s">
        <v>5</v>
      </c>
      <c r="I13" s="4"/>
      <c r="J13" s="2"/>
    </row>
    <row r="14" spans="1:10" x14ac:dyDescent="0.35">
      <c r="A14" s="12" t="s">
        <v>10</v>
      </c>
      <c r="B14" s="12"/>
      <c r="C14" s="12">
        <v>6200</v>
      </c>
      <c r="D14" s="35">
        <f>C14-E29</f>
        <v>6055.12</v>
      </c>
      <c r="E14" s="4">
        <f t="shared" si="0"/>
        <v>7817.4786105263156</v>
      </c>
      <c r="F14" t="s">
        <v>5</v>
      </c>
      <c r="I14" s="4"/>
      <c r="J14" s="2"/>
    </row>
    <row r="15" spans="1:10" x14ac:dyDescent="0.35">
      <c r="A15" s="38" t="s">
        <v>11</v>
      </c>
      <c r="B15" s="3"/>
      <c r="C15" s="3">
        <v>7438</v>
      </c>
      <c r="D15" s="36">
        <f>C15-E32</f>
        <v>7214.86</v>
      </c>
      <c r="E15" s="4">
        <f t="shared" si="0"/>
        <v>9314.763989473684</v>
      </c>
      <c r="F15" t="s">
        <v>5</v>
      </c>
      <c r="I15" s="4"/>
      <c r="J15" s="2"/>
    </row>
    <row r="16" spans="1:10" x14ac:dyDescent="0.35">
      <c r="A16" s="3" t="s">
        <v>12</v>
      </c>
      <c r="B16" s="3"/>
      <c r="C16" s="3"/>
      <c r="D16" s="14">
        <v>478</v>
      </c>
      <c r="E16" s="4">
        <f t="shared" si="0"/>
        <v>617.12315789473678</v>
      </c>
      <c r="I16" s="4"/>
      <c r="J16" s="2"/>
    </row>
    <row r="17" spans="1:11" x14ac:dyDescent="0.35">
      <c r="A17" s="3" t="s">
        <v>13</v>
      </c>
      <c r="B17" s="3"/>
      <c r="C17" s="3"/>
      <c r="D17" s="14">
        <v>250</v>
      </c>
      <c r="E17" s="4">
        <f t="shared" si="0"/>
        <v>322.76315789473682</v>
      </c>
      <c r="I17" s="4"/>
      <c r="J17" s="2"/>
    </row>
    <row r="18" spans="1:11" x14ac:dyDescent="0.35">
      <c r="A18" s="3" t="s">
        <v>14</v>
      </c>
      <c r="B18" s="3"/>
      <c r="C18" s="3"/>
      <c r="D18" s="14">
        <v>456</v>
      </c>
      <c r="E18" s="4">
        <f t="shared" si="0"/>
        <v>588.72</v>
      </c>
      <c r="I18" s="4"/>
      <c r="J18" s="2"/>
    </row>
    <row r="19" spans="1:11" x14ac:dyDescent="0.35">
      <c r="A19" s="3" t="s">
        <v>15</v>
      </c>
      <c r="B19" s="3"/>
      <c r="C19" s="3"/>
      <c r="D19" s="14">
        <v>1028</v>
      </c>
      <c r="E19" s="4">
        <f t="shared" si="0"/>
        <v>1327.2021052631578</v>
      </c>
      <c r="I19" s="4"/>
      <c r="J19" s="2"/>
    </row>
    <row r="20" spans="1:11" x14ac:dyDescent="0.35">
      <c r="A20" s="3" t="s">
        <v>16</v>
      </c>
      <c r="B20" s="3"/>
      <c r="C20" s="3"/>
      <c r="D20" s="14">
        <v>0</v>
      </c>
      <c r="E20" s="4">
        <f t="shared" si="0"/>
        <v>0</v>
      </c>
      <c r="I20" s="4"/>
      <c r="J20" s="2"/>
    </row>
    <row r="21" spans="1:11" x14ac:dyDescent="0.35">
      <c r="A21" s="3" t="s">
        <v>17</v>
      </c>
      <c r="B21" s="3"/>
      <c r="C21" s="3"/>
      <c r="D21" s="14">
        <v>0</v>
      </c>
      <c r="E21" s="4">
        <f t="shared" si="0"/>
        <v>0</v>
      </c>
      <c r="I21" s="4"/>
      <c r="J21" s="2"/>
    </row>
    <row r="22" spans="1:11" x14ac:dyDescent="0.35">
      <c r="A22" s="3" t="s">
        <v>18</v>
      </c>
      <c r="B22" s="3"/>
      <c r="C22" s="3"/>
      <c r="D22" s="14">
        <v>1884</v>
      </c>
      <c r="E22" s="4">
        <f t="shared" si="0"/>
        <v>2432.343157894737</v>
      </c>
      <c r="I22" s="4"/>
      <c r="J22" s="2"/>
    </row>
    <row r="23" spans="1:11" x14ac:dyDescent="0.35">
      <c r="A23" s="3" t="s">
        <v>19</v>
      </c>
      <c r="B23" s="3"/>
      <c r="C23" s="3"/>
      <c r="D23" s="14">
        <v>478</v>
      </c>
      <c r="E23" s="4">
        <f t="shared" si="0"/>
        <v>617.12315789473678</v>
      </c>
      <c r="I23" s="4"/>
      <c r="J23" s="2"/>
    </row>
    <row r="24" spans="1:11" x14ac:dyDescent="0.35">
      <c r="A24" s="3" t="s">
        <v>20</v>
      </c>
      <c r="B24" s="3"/>
      <c r="C24" s="3"/>
      <c r="D24" s="14">
        <v>350</v>
      </c>
      <c r="E24" s="4">
        <f t="shared" si="0"/>
        <v>451.86842105263162</v>
      </c>
      <c r="I24" s="4"/>
      <c r="J24" s="2"/>
    </row>
    <row r="25" spans="1:11" x14ac:dyDescent="0.35">
      <c r="E25" s="8">
        <f>SUM(E7:E24)</f>
        <v>37894.951021052628</v>
      </c>
      <c r="I25" s="9"/>
      <c r="J25" s="9"/>
    </row>
    <row r="26" spans="1:11" x14ac:dyDescent="0.35">
      <c r="E26" s="9"/>
      <c r="G26" s="70" t="s">
        <v>90</v>
      </c>
      <c r="H26" s="70"/>
      <c r="I26" s="70"/>
      <c r="J26" s="70"/>
      <c r="K26" s="70"/>
    </row>
    <row r="27" spans="1:11" x14ac:dyDescent="0.35">
      <c r="A27" s="15" t="s">
        <v>89</v>
      </c>
      <c r="B27" s="15"/>
      <c r="C27" s="15"/>
      <c r="D27" s="15">
        <f>D24+D23+D22+D21+D20+D19+D18+D17+D16+C13+D12+D11+D10+C9+D8</f>
        <v>15038</v>
      </c>
      <c r="E27" s="16">
        <f>D27*0.03</f>
        <v>451.14</v>
      </c>
      <c r="G27" s="10"/>
      <c r="I27" s="10"/>
      <c r="J27" s="10"/>
    </row>
    <row r="28" spans="1:11" x14ac:dyDescent="0.35">
      <c r="A28" s="15"/>
      <c r="B28" s="15"/>
      <c r="C28" s="15"/>
      <c r="D28" s="15"/>
      <c r="E28" s="16"/>
      <c r="G28" s="10"/>
      <c r="I28" s="10"/>
      <c r="J28" s="10"/>
    </row>
    <row r="29" spans="1:11" x14ac:dyDescent="0.35">
      <c r="A29" s="33" t="s">
        <v>87</v>
      </c>
      <c r="B29" s="33"/>
      <c r="C29" s="33"/>
      <c r="D29" s="33">
        <f>C14+D7</f>
        <v>7244</v>
      </c>
      <c r="E29" s="34">
        <f>D29*0.02</f>
        <v>144.88</v>
      </c>
    </row>
    <row r="30" spans="1:11" x14ac:dyDescent="0.35">
      <c r="E30" s="2"/>
      <c r="G30" s="23" t="s">
        <v>74</v>
      </c>
      <c r="H30" s="23"/>
    </row>
    <row r="31" spans="1:11" x14ac:dyDescent="0.35">
      <c r="E31" s="9" t="s">
        <v>59</v>
      </c>
      <c r="G31" s="23" t="s">
        <v>21</v>
      </c>
      <c r="H31" s="23"/>
    </row>
    <row r="32" spans="1:11" x14ac:dyDescent="0.35">
      <c r="A32" s="37" t="s">
        <v>23</v>
      </c>
      <c r="B32" s="1"/>
      <c r="C32" s="1"/>
      <c r="D32" s="37">
        <f>C15</f>
        <v>7438</v>
      </c>
      <c r="E32" s="11">
        <f>D32*0.03</f>
        <v>223.14</v>
      </c>
      <c r="G32" s="23" t="s">
        <v>22</v>
      </c>
      <c r="H32" s="23">
        <v>200</v>
      </c>
      <c r="J32" s="55"/>
    </row>
    <row r="33" spans="1:22" x14ac:dyDescent="0.35">
      <c r="E33" s="2"/>
      <c r="G33" s="23" t="s">
        <v>43</v>
      </c>
      <c r="H33" s="23">
        <v>114</v>
      </c>
      <c r="J33" s="55"/>
    </row>
    <row r="34" spans="1:22" x14ac:dyDescent="0.35">
      <c r="E34" s="2"/>
      <c r="G34" s="23" t="s">
        <v>44</v>
      </c>
      <c r="H34" s="23">
        <v>145</v>
      </c>
      <c r="J34" s="55"/>
    </row>
    <row r="35" spans="1:22" x14ac:dyDescent="0.35">
      <c r="E35" s="2"/>
      <c r="J35" s="55" t="s">
        <v>112</v>
      </c>
      <c r="K35" t="s">
        <v>113</v>
      </c>
    </row>
    <row r="36" spans="1:22" x14ac:dyDescent="0.35">
      <c r="C36" s="2"/>
      <c r="J36" s="55" t="s">
        <v>103</v>
      </c>
      <c r="K36" s="20"/>
      <c r="O36" t="s">
        <v>45</v>
      </c>
    </row>
    <row r="37" spans="1:22" x14ac:dyDescent="0.35">
      <c r="C37" s="2"/>
      <c r="G37" s="21" t="s">
        <v>46</v>
      </c>
      <c r="H37" t="s">
        <v>61</v>
      </c>
      <c r="I37" s="21" t="s">
        <v>46</v>
      </c>
      <c r="J37" s="56" t="s">
        <v>77</v>
      </c>
      <c r="O37" t="s">
        <v>47</v>
      </c>
      <c r="U37" t="s">
        <v>69</v>
      </c>
    </row>
    <row r="38" spans="1:22" x14ac:dyDescent="0.35">
      <c r="A38">
        <v>2024</v>
      </c>
      <c r="B38" t="s">
        <v>73</v>
      </c>
      <c r="C38" t="s">
        <v>26</v>
      </c>
      <c r="D38" s="22" t="s">
        <v>75</v>
      </c>
      <c r="E38" t="s">
        <v>48</v>
      </c>
      <c r="F38" s="23" t="s">
        <v>49</v>
      </c>
      <c r="G38" s="24" t="s">
        <v>62</v>
      </c>
      <c r="H38" s="23" t="s">
        <v>60</v>
      </c>
      <c r="I38" s="24" t="s">
        <v>50</v>
      </c>
      <c r="J38" s="57" t="s">
        <v>76</v>
      </c>
      <c r="K38" s="21" t="s">
        <v>51</v>
      </c>
      <c r="L38" s="24" t="s">
        <v>81</v>
      </c>
      <c r="M38" s="24" t="s">
        <v>82</v>
      </c>
      <c r="N38" t="s">
        <v>78</v>
      </c>
      <c r="O38" t="s">
        <v>52</v>
      </c>
      <c r="P38" t="s">
        <v>63</v>
      </c>
      <c r="R38" t="s">
        <v>66</v>
      </c>
      <c r="T38" t="s">
        <v>68</v>
      </c>
    </row>
    <row r="39" spans="1:22" x14ac:dyDescent="0.35">
      <c r="A39" s="25" t="s">
        <v>2</v>
      </c>
      <c r="B39" s="3">
        <v>1044</v>
      </c>
      <c r="C39" s="3">
        <v>1044</v>
      </c>
      <c r="D39" s="3"/>
      <c r="E39" s="4"/>
      <c r="F39" s="4">
        <f>D39+E39</f>
        <v>0</v>
      </c>
      <c r="G39" s="3">
        <f t="shared" ref="G39:G57" si="1">C39-F39</f>
        <v>1044</v>
      </c>
      <c r="H39" s="3">
        <f>G39/228*3</f>
        <v>13.736842105263158</v>
      </c>
      <c r="I39" s="3">
        <f>(G39-H39)*0.97</f>
        <v>999.3552631578948</v>
      </c>
      <c r="J39" s="58">
        <f>I39/0.75</f>
        <v>1332.4736842105265</v>
      </c>
      <c r="K39" s="26">
        <f>(G39-H39)*0.99/0.75</f>
        <v>1359.9473684210527</v>
      </c>
      <c r="L39">
        <v>45</v>
      </c>
      <c r="M39">
        <f>L39*K39</f>
        <v>61197.631578947374</v>
      </c>
      <c r="N39" s="25" t="s">
        <v>2</v>
      </c>
      <c r="O39" s="4">
        <v>1373.6842105263158</v>
      </c>
      <c r="P39" s="3"/>
      <c r="R39">
        <v>1935</v>
      </c>
      <c r="T39" s="43">
        <f>O39-R39</f>
        <v>-561.31578947368416</v>
      </c>
      <c r="V39">
        <v>90</v>
      </c>
    </row>
    <row r="40" spans="1:22" x14ac:dyDescent="0.35">
      <c r="A40" s="27" t="s">
        <v>3</v>
      </c>
      <c r="B40" s="3">
        <v>684</v>
      </c>
      <c r="C40" s="3">
        <v>684</v>
      </c>
      <c r="D40" s="3"/>
      <c r="E40" s="4"/>
      <c r="F40" s="4">
        <f t="shared" ref="F40:F57" si="2">D40+E40</f>
        <v>0</v>
      </c>
      <c r="G40" s="3">
        <f t="shared" si="1"/>
        <v>684</v>
      </c>
      <c r="H40" s="3">
        <f t="shared" ref="H40:H57" si="3">G40/228*3</f>
        <v>9</v>
      </c>
      <c r="I40" s="3">
        <f t="shared" ref="I40:I57" si="4">(G40-H40)*0.97</f>
        <v>654.75</v>
      </c>
      <c r="J40" s="58">
        <f t="shared" ref="J40:J57" si="5">I40/0.75</f>
        <v>873</v>
      </c>
      <c r="K40" s="26">
        <f t="shared" ref="K40:K57" si="6">(G40-H40)*0.99/0.75</f>
        <v>891</v>
      </c>
      <c r="L40">
        <v>37</v>
      </c>
      <c r="M40">
        <f t="shared" ref="M40:M57" si="7">L40*K40</f>
        <v>32967</v>
      </c>
      <c r="N40" s="27" t="s">
        <v>3</v>
      </c>
      <c r="O40" s="4">
        <v>900</v>
      </c>
      <c r="P40" s="3"/>
      <c r="R40">
        <v>1850</v>
      </c>
      <c r="T40" s="9">
        <f t="shared" ref="T40:T57" si="8">O40-R40</f>
        <v>-950</v>
      </c>
    </row>
    <row r="41" spans="1:22" x14ac:dyDescent="0.35">
      <c r="A41" s="44" t="s">
        <v>4</v>
      </c>
      <c r="B41" s="3">
        <v>2056</v>
      </c>
      <c r="C41" s="3">
        <v>2056</v>
      </c>
      <c r="D41" s="28"/>
      <c r="E41" s="13"/>
      <c r="F41" s="4">
        <f t="shared" si="2"/>
        <v>0</v>
      </c>
      <c r="G41" s="3">
        <f t="shared" si="1"/>
        <v>2056</v>
      </c>
      <c r="H41" s="3">
        <f>G41/228*3</f>
        <v>27.05263157894737</v>
      </c>
      <c r="I41" s="3">
        <f t="shared" si="4"/>
        <v>1968.078947368421</v>
      </c>
      <c r="J41" s="60">
        <f t="shared" si="5"/>
        <v>2624.1052631578946</v>
      </c>
      <c r="K41" s="26">
        <f t="shared" si="6"/>
        <v>2678.2105263157896</v>
      </c>
      <c r="L41">
        <v>15</v>
      </c>
      <c r="M41">
        <f t="shared" si="7"/>
        <v>40173.157894736847</v>
      </c>
      <c r="N41" s="27" t="s">
        <v>4</v>
      </c>
      <c r="O41" s="4">
        <v>1913.1578947368423</v>
      </c>
      <c r="P41" s="3"/>
      <c r="R41">
        <v>3373</v>
      </c>
      <c r="T41" s="9">
        <f t="shared" si="8"/>
        <v>-1459.8421052631577</v>
      </c>
    </row>
    <row r="42" spans="1:22" x14ac:dyDescent="0.35">
      <c r="A42" s="27" t="s">
        <v>6</v>
      </c>
      <c r="B42" s="3">
        <v>478</v>
      </c>
      <c r="C42" s="3">
        <v>478</v>
      </c>
      <c r="D42" s="3"/>
      <c r="E42" s="4"/>
      <c r="F42" s="4">
        <f t="shared" si="2"/>
        <v>0</v>
      </c>
      <c r="G42" s="3">
        <f t="shared" si="1"/>
        <v>478</v>
      </c>
      <c r="H42" s="3">
        <f t="shared" si="3"/>
        <v>6.2894736842105265</v>
      </c>
      <c r="I42" s="3">
        <f t="shared" si="4"/>
        <v>457.55921052631578</v>
      </c>
      <c r="J42" s="58">
        <f t="shared" si="5"/>
        <v>610.07894736842104</v>
      </c>
      <c r="K42" s="26">
        <f t="shared" si="6"/>
        <v>622.65789473684208</v>
      </c>
      <c r="L42">
        <v>56</v>
      </c>
      <c r="M42">
        <f t="shared" si="7"/>
        <v>34868.84210526316</v>
      </c>
      <c r="N42" s="27" t="s">
        <v>6</v>
      </c>
      <c r="O42" s="4">
        <v>628.9473684210526</v>
      </c>
      <c r="P42" s="3"/>
      <c r="R42">
        <v>2313</v>
      </c>
      <c r="T42" s="9">
        <f t="shared" si="8"/>
        <v>-1684.0526315789475</v>
      </c>
    </row>
    <row r="43" spans="1:22" x14ac:dyDescent="0.35">
      <c r="A43" s="44" t="s">
        <v>7</v>
      </c>
      <c r="B43" s="3">
        <v>856</v>
      </c>
      <c r="C43" s="3">
        <v>856</v>
      </c>
      <c r="D43" s="3"/>
      <c r="E43" s="4"/>
      <c r="F43" s="4">
        <f t="shared" si="2"/>
        <v>0</v>
      </c>
      <c r="G43" s="3">
        <f t="shared" si="1"/>
        <v>856</v>
      </c>
      <c r="H43" s="3">
        <f t="shared" si="3"/>
        <v>11.263157894736842</v>
      </c>
      <c r="I43" s="3">
        <f t="shared" si="4"/>
        <v>819.3947368421052</v>
      </c>
      <c r="J43" s="59">
        <f t="shared" si="5"/>
        <v>1092.5263157894735</v>
      </c>
      <c r="K43" s="26">
        <f t="shared" si="6"/>
        <v>1115.0526315789473</v>
      </c>
      <c r="L43">
        <v>215</v>
      </c>
      <c r="M43">
        <f t="shared" si="7"/>
        <v>239736.31578947368</v>
      </c>
      <c r="N43" s="27" t="s">
        <v>7</v>
      </c>
      <c r="O43" s="47">
        <v>1126.3157894736842</v>
      </c>
      <c r="P43" s="3">
        <v>1004</v>
      </c>
      <c r="R43">
        <v>2266</v>
      </c>
      <c r="T43" s="9">
        <f t="shared" si="8"/>
        <v>-1139.6842105263158</v>
      </c>
      <c r="U43" t="s">
        <v>70</v>
      </c>
    </row>
    <row r="44" spans="1:22" x14ac:dyDescent="0.35">
      <c r="A44" s="27" t="s">
        <v>8</v>
      </c>
      <c r="B44" s="3">
        <v>1028</v>
      </c>
      <c r="C44" s="3">
        <v>1028</v>
      </c>
      <c r="D44" s="3"/>
      <c r="E44" s="4"/>
      <c r="F44" s="4">
        <f t="shared" si="2"/>
        <v>0</v>
      </c>
      <c r="G44" s="3">
        <f t="shared" si="1"/>
        <v>1028</v>
      </c>
      <c r="H44" s="3">
        <f t="shared" si="3"/>
        <v>13.526315789473685</v>
      </c>
      <c r="I44" s="3">
        <f t="shared" si="4"/>
        <v>984.03947368421052</v>
      </c>
      <c r="J44" s="59">
        <f t="shared" si="5"/>
        <v>1312.0526315789473</v>
      </c>
      <c r="K44" s="26">
        <f t="shared" si="6"/>
        <v>1339.1052631578948</v>
      </c>
      <c r="L44">
        <v>22</v>
      </c>
      <c r="M44">
        <f t="shared" si="7"/>
        <v>29460.315789473687</v>
      </c>
      <c r="N44" s="27" t="s">
        <v>8</v>
      </c>
      <c r="O44" s="47">
        <v>1352.6315789473686</v>
      </c>
      <c r="P44" s="3">
        <v>1206</v>
      </c>
      <c r="R44">
        <v>2457</v>
      </c>
      <c r="T44" s="9">
        <f t="shared" si="8"/>
        <v>-1104.3684210526314</v>
      </c>
      <c r="U44" t="s">
        <v>70</v>
      </c>
    </row>
    <row r="45" spans="1:22" x14ac:dyDescent="0.35">
      <c r="A45" s="44" t="s">
        <v>9</v>
      </c>
      <c r="B45" s="3">
        <v>5012</v>
      </c>
      <c r="C45" s="3">
        <v>5012</v>
      </c>
      <c r="D45" s="54">
        <v>200</v>
      </c>
      <c r="E45" s="13">
        <v>110</v>
      </c>
      <c r="F45" s="4">
        <f t="shared" si="2"/>
        <v>310</v>
      </c>
      <c r="G45" s="3">
        <f t="shared" si="1"/>
        <v>4702</v>
      </c>
      <c r="H45" s="3">
        <f t="shared" si="3"/>
        <v>61.868421052631575</v>
      </c>
      <c r="I45" s="3">
        <f t="shared" si="4"/>
        <v>4500.9276315789475</v>
      </c>
      <c r="J45" s="60">
        <f t="shared" si="5"/>
        <v>6001.2368421052633</v>
      </c>
      <c r="K45" s="26">
        <f t="shared" si="6"/>
        <v>6124.9736842105267</v>
      </c>
      <c r="L45">
        <v>15.5</v>
      </c>
      <c r="M45">
        <f t="shared" si="7"/>
        <v>94937.09210526316</v>
      </c>
      <c r="N45" s="27" t="s">
        <v>9</v>
      </c>
      <c r="O45" s="4">
        <v>5994.7368421052633</v>
      </c>
      <c r="P45" s="3"/>
      <c r="R45">
        <v>10889</v>
      </c>
      <c r="T45" s="9">
        <f t="shared" si="8"/>
        <v>-4894.2631578947367</v>
      </c>
    </row>
    <row r="46" spans="1:22" x14ac:dyDescent="0.35">
      <c r="A46" s="25" t="s">
        <v>10</v>
      </c>
      <c r="B46" s="3">
        <v>6200</v>
      </c>
      <c r="C46" s="3">
        <v>6200</v>
      </c>
      <c r="D46" s="28">
        <v>145</v>
      </c>
      <c r="E46" s="39"/>
      <c r="F46" s="4">
        <f t="shared" si="2"/>
        <v>145</v>
      </c>
      <c r="G46" s="3">
        <f t="shared" si="1"/>
        <v>6055</v>
      </c>
      <c r="H46" s="3">
        <f t="shared" si="3"/>
        <v>79.671052631578959</v>
      </c>
      <c r="I46" s="3">
        <f t="shared" si="4"/>
        <v>5796.0690789473683</v>
      </c>
      <c r="J46" s="58">
        <f t="shared" si="5"/>
        <v>7728.0921052631575</v>
      </c>
      <c r="K46" s="26">
        <f t="shared" si="6"/>
        <v>7887.4342105263158</v>
      </c>
      <c r="L46">
        <v>16</v>
      </c>
      <c r="M46">
        <f t="shared" si="7"/>
        <v>126198.94736842105</v>
      </c>
      <c r="N46" s="25" t="s">
        <v>10</v>
      </c>
      <c r="O46" s="4">
        <v>7765.78947368421</v>
      </c>
      <c r="P46" s="3"/>
      <c r="R46">
        <v>6522</v>
      </c>
      <c r="T46" s="43">
        <f t="shared" si="8"/>
        <v>1243.78947368421</v>
      </c>
      <c r="V46">
        <v>500</v>
      </c>
    </row>
    <row r="47" spans="1:22" x14ac:dyDescent="0.35">
      <c r="A47" s="45" t="s">
        <v>11</v>
      </c>
      <c r="B47" s="3">
        <v>7438</v>
      </c>
      <c r="C47" s="3">
        <v>7438</v>
      </c>
      <c r="D47" s="28">
        <v>114</v>
      </c>
      <c r="E47" s="4"/>
      <c r="F47" s="4">
        <f t="shared" si="2"/>
        <v>114</v>
      </c>
      <c r="G47" s="3">
        <f t="shared" si="1"/>
        <v>7324</v>
      </c>
      <c r="H47" s="3">
        <f t="shared" si="3"/>
        <v>96.368421052631589</v>
      </c>
      <c r="I47" s="3">
        <f t="shared" si="4"/>
        <v>7010.8026315789475</v>
      </c>
      <c r="J47" s="58">
        <f t="shared" si="5"/>
        <v>9347.7368421052633</v>
      </c>
      <c r="K47" s="26">
        <f t="shared" si="6"/>
        <v>9540.4736842105267</v>
      </c>
      <c r="L47">
        <v>14</v>
      </c>
      <c r="M47">
        <f t="shared" si="7"/>
        <v>133566.63157894736</v>
      </c>
      <c r="N47" s="7" t="s">
        <v>11</v>
      </c>
      <c r="O47" s="4">
        <v>9497.3684210526317</v>
      </c>
      <c r="P47" s="3"/>
      <c r="R47">
        <v>10608</v>
      </c>
      <c r="T47" s="9">
        <f t="shared" si="8"/>
        <v>-1110.6315789473683</v>
      </c>
    </row>
    <row r="48" spans="1:22" x14ac:dyDescent="0.35">
      <c r="A48" s="45" t="s">
        <v>88</v>
      </c>
      <c r="B48" s="3"/>
      <c r="C48" s="3">
        <v>7438</v>
      </c>
      <c r="D48" s="28">
        <v>114</v>
      </c>
      <c r="E48" s="4"/>
      <c r="F48" s="4">
        <v>114</v>
      </c>
      <c r="G48" s="3">
        <f t="shared" si="1"/>
        <v>7324</v>
      </c>
      <c r="H48" s="3">
        <v>50</v>
      </c>
      <c r="I48" s="3">
        <f t="shared" si="4"/>
        <v>7055.78</v>
      </c>
      <c r="J48" s="58">
        <f t="shared" si="5"/>
        <v>9407.7066666666669</v>
      </c>
      <c r="K48" s="26">
        <f t="shared" si="6"/>
        <v>9601.68</v>
      </c>
      <c r="N48" s="7"/>
      <c r="O48" s="4"/>
      <c r="P48" s="3"/>
      <c r="T48" s="9"/>
    </row>
    <row r="49" spans="1:21" x14ac:dyDescent="0.35">
      <c r="A49" s="27" t="s">
        <v>12</v>
      </c>
      <c r="B49" s="3">
        <v>478</v>
      </c>
      <c r="C49" s="3">
        <v>478</v>
      </c>
      <c r="D49" s="3"/>
      <c r="E49" s="4"/>
      <c r="F49" s="4">
        <f t="shared" si="2"/>
        <v>0</v>
      </c>
      <c r="G49" s="3">
        <f t="shared" si="1"/>
        <v>478</v>
      </c>
      <c r="H49" s="3">
        <f t="shared" si="3"/>
        <v>6.2894736842105265</v>
      </c>
      <c r="I49" s="3">
        <f t="shared" si="4"/>
        <v>457.55921052631578</v>
      </c>
      <c r="J49" s="58">
        <f t="shared" si="5"/>
        <v>610.07894736842104</v>
      </c>
      <c r="K49" s="26">
        <f t="shared" si="6"/>
        <v>622.65789473684208</v>
      </c>
      <c r="L49">
        <v>71</v>
      </c>
      <c r="M49">
        <f t="shared" si="7"/>
        <v>44208.710526315786</v>
      </c>
      <c r="N49" s="27" t="s">
        <v>12</v>
      </c>
      <c r="O49" s="4">
        <v>628.9473684210526</v>
      </c>
      <c r="P49" s="3"/>
      <c r="R49">
        <v>1766</v>
      </c>
      <c r="T49" s="9">
        <f t="shared" si="8"/>
        <v>-1137.0526315789475</v>
      </c>
    </row>
    <row r="50" spans="1:21" x14ac:dyDescent="0.35">
      <c r="A50" s="44" t="s">
        <v>13</v>
      </c>
      <c r="B50" s="3">
        <v>250</v>
      </c>
      <c r="C50" s="3">
        <v>250</v>
      </c>
      <c r="D50" s="3"/>
      <c r="E50" s="4"/>
      <c r="F50" s="4">
        <f t="shared" si="2"/>
        <v>0</v>
      </c>
      <c r="G50" s="3">
        <f t="shared" si="1"/>
        <v>250</v>
      </c>
      <c r="H50" s="3">
        <f t="shared" si="3"/>
        <v>3.2894736842105265</v>
      </c>
      <c r="I50" s="3">
        <f t="shared" si="4"/>
        <v>239.30921052631578</v>
      </c>
      <c r="J50" s="58">
        <f t="shared" si="5"/>
        <v>319.07894736842104</v>
      </c>
      <c r="K50" s="26">
        <f t="shared" si="6"/>
        <v>325.65789473684214</v>
      </c>
      <c r="L50">
        <v>71</v>
      </c>
      <c r="M50">
        <f t="shared" si="7"/>
        <v>23121.71052631579</v>
      </c>
      <c r="N50" s="27" t="s">
        <v>13</v>
      </c>
      <c r="O50" s="4">
        <v>328.94736842105266</v>
      </c>
      <c r="P50" s="3"/>
      <c r="R50">
        <v>419</v>
      </c>
      <c r="T50" s="9">
        <f t="shared" si="8"/>
        <v>-90.052631578947341</v>
      </c>
      <c r="U50" t="s">
        <v>70</v>
      </c>
    </row>
    <row r="51" spans="1:21" x14ac:dyDescent="0.35">
      <c r="A51" s="27" t="s">
        <v>14</v>
      </c>
      <c r="B51" s="3">
        <v>456</v>
      </c>
      <c r="C51" s="3">
        <v>456</v>
      </c>
      <c r="D51" s="3"/>
      <c r="E51" s="4"/>
      <c r="F51" s="4">
        <f t="shared" si="2"/>
        <v>0</v>
      </c>
      <c r="G51" s="3">
        <f t="shared" si="1"/>
        <v>456</v>
      </c>
      <c r="H51" s="3">
        <f t="shared" si="3"/>
        <v>6</v>
      </c>
      <c r="I51" s="3">
        <f t="shared" si="4"/>
        <v>436.5</v>
      </c>
      <c r="J51" s="58">
        <f t="shared" si="5"/>
        <v>582</v>
      </c>
      <c r="K51" s="26">
        <f t="shared" si="6"/>
        <v>594</v>
      </c>
      <c r="L51">
        <v>71</v>
      </c>
      <c r="M51">
        <f t="shared" si="7"/>
        <v>42174</v>
      </c>
      <c r="N51" s="27" t="s">
        <v>14</v>
      </c>
      <c r="O51" s="4">
        <v>600</v>
      </c>
      <c r="P51" s="3"/>
      <c r="R51">
        <v>1924</v>
      </c>
      <c r="T51" s="9">
        <f t="shared" si="8"/>
        <v>-1324</v>
      </c>
    </row>
    <row r="52" spans="1:21" x14ac:dyDescent="0.35">
      <c r="A52" s="27" t="s">
        <v>15</v>
      </c>
      <c r="B52" s="3">
        <v>1028</v>
      </c>
      <c r="C52" s="3">
        <v>1028</v>
      </c>
      <c r="D52" s="3"/>
      <c r="E52" s="4"/>
      <c r="F52" s="4">
        <f t="shared" si="2"/>
        <v>0</v>
      </c>
      <c r="G52" s="3">
        <f t="shared" si="1"/>
        <v>1028</v>
      </c>
      <c r="H52" s="3">
        <f t="shared" si="3"/>
        <v>13.526315789473685</v>
      </c>
      <c r="I52" s="3">
        <f t="shared" si="4"/>
        <v>984.03947368421052</v>
      </c>
      <c r="J52" s="59">
        <f t="shared" si="5"/>
        <v>1312.0526315789473</v>
      </c>
      <c r="K52" s="26">
        <f t="shared" si="6"/>
        <v>1339.1052631578948</v>
      </c>
      <c r="L52">
        <v>510</v>
      </c>
      <c r="M52">
        <f t="shared" si="7"/>
        <v>682943.68421052629</v>
      </c>
      <c r="N52" s="27" t="s">
        <v>15</v>
      </c>
      <c r="O52" s="47">
        <v>1352.6315789473686</v>
      </c>
      <c r="P52" s="3">
        <v>1206</v>
      </c>
      <c r="R52">
        <v>2070</v>
      </c>
      <c r="T52" s="9">
        <f t="shared" si="8"/>
        <v>-717.36842105263145</v>
      </c>
    </row>
    <row r="53" spans="1:21" x14ac:dyDescent="0.35">
      <c r="A53" s="27" t="s">
        <v>16</v>
      </c>
      <c r="B53" s="3">
        <v>0</v>
      </c>
      <c r="C53" s="3">
        <v>0</v>
      </c>
      <c r="D53" s="3"/>
      <c r="E53" s="4"/>
      <c r="F53" s="4">
        <f t="shared" si="2"/>
        <v>0</v>
      </c>
      <c r="G53" s="3">
        <f t="shared" si="1"/>
        <v>0</v>
      </c>
      <c r="H53" s="3">
        <f t="shared" si="3"/>
        <v>0</v>
      </c>
      <c r="I53" s="3">
        <f t="shared" si="4"/>
        <v>0</v>
      </c>
      <c r="J53" s="58">
        <f t="shared" si="5"/>
        <v>0</v>
      </c>
      <c r="K53" s="26">
        <f t="shared" si="6"/>
        <v>0</v>
      </c>
      <c r="M53">
        <f t="shared" si="7"/>
        <v>0</v>
      </c>
      <c r="N53" s="27" t="s">
        <v>16</v>
      </c>
      <c r="O53" s="4">
        <v>0</v>
      </c>
      <c r="P53" s="3"/>
      <c r="R53">
        <v>3012</v>
      </c>
      <c r="T53" s="9">
        <f t="shared" si="8"/>
        <v>-3012</v>
      </c>
    </row>
    <row r="54" spans="1:21" x14ac:dyDescent="0.35">
      <c r="A54" s="27" t="s">
        <v>17</v>
      </c>
      <c r="B54" s="3">
        <v>0</v>
      </c>
      <c r="C54" s="3">
        <v>0</v>
      </c>
      <c r="D54" s="3"/>
      <c r="E54" s="4"/>
      <c r="F54" s="4">
        <f t="shared" si="2"/>
        <v>0</v>
      </c>
      <c r="G54" s="3">
        <f t="shared" si="1"/>
        <v>0</v>
      </c>
      <c r="H54" s="3">
        <f t="shared" si="3"/>
        <v>0</v>
      </c>
      <c r="I54" s="3">
        <f t="shared" si="4"/>
        <v>0</v>
      </c>
      <c r="J54" s="58">
        <f t="shared" si="5"/>
        <v>0</v>
      </c>
      <c r="K54" s="26">
        <f t="shared" si="6"/>
        <v>0</v>
      </c>
      <c r="M54">
        <f t="shared" si="7"/>
        <v>0</v>
      </c>
      <c r="N54" s="27" t="s">
        <v>17</v>
      </c>
      <c r="O54" s="4">
        <v>0</v>
      </c>
      <c r="P54" s="3"/>
      <c r="R54">
        <v>1386</v>
      </c>
      <c r="T54" s="9">
        <f t="shared" si="8"/>
        <v>-1386</v>
      </c>
    </row>
    <row r="55" spans="1:21" x14ac:dyDescent="0.35">
      <c r="A55" s="44" t="s">
        <v>18</v>
      </c>
      <c r="B55" s="3">
        <v>1884</v>
      </c>
      <c r="C55" s="3">
        <v>1884</v>
      </c>
      <c r="D55" s="3"/>
      <c r="E55" s="4"/>
      <c r="F55" s="4">
        <f t="shared" si="2"/>
        <v>0</v>
      </c>
      <c r="G55" s="3">
        <f t="shared" si="1"/>
        <v>1884</v>
      </c>
      <c r="H55" s="3">
        <f t="shared" si="3"/>
        <v>24.789473684210527</v>
      </c>
      <c r="I55" s="3">
        <f t="shared" si="4"/>
        <v>1803.4342105263156</v>
      </c>
      <c r="J55" s="58">
        <f t="shared" si="5"/>
        <v>2404.5789473684208</v>
      </c>
      <c r="K55" s="26">
        <f t="shared" si="6"/>
        <v>2454.1578947368421</v>
      </c>
      <c r="L55">
        <v>56</v>
      </c>
      <c r="M55">
        <f t="shared" si="7"/>
        <v>137432.84210526315</v>
      </c>
      <c r="N55" s="27" t="s">
        <v>18</v>
      </c>
      <c r="O55" s="4">
        <v>2478.9473684210525</v>
      </c>
      <c r="P55" s="3"/>
      <c r="R55">
        <v>5290</v>
      </c>
      <c r="T55" s="9">
        <f t="shared" si="8"/>
        <v>-2811.0526315789475</v>
      </c>
      <c r="U55" t="s">
        <v>70</v>
      </c>
    </row>
    <row r="56" spans="1:21" x14ac:dyDescent="0.35">
      <c r="A56" s="44" t="s">
        <v>19</v>
      </c>
      <c r="B56" s="3">
        <v>478</v>
      </c>
      <c r="C56" s="3">
        <v>478</v>
      </c>
      <c r="D56" s="3"/>
      <c r="E56" s="4"/>
      <c r="F56" s="4">
        <f t="shared" si="2"/>
        <v>0</v>
      </c>
      <c r="G56" s="3">
        <f t="shared" si="1"/>
        <v>478</v>
      </c>
      <c r="H56" s="3">
        <f t="shared" si="3"/>
        <v>6.2894736842105265</v>
      </c>
      <c r="I56" s="3">
        <f t="shared" si="4"/>
        <v>457.55921052631578</v>
      </c>
      <c r="J56" s="58">
        <f t="shared" si="5"/>
        <v>610.07894736842104</v>
      </c>
      <c r="K56" s="26">
        <f t="shared" si="6"/>
        <v>622.65789473684208</v>
      </c>
      <c r="L56">
        <v>56</v>
      </c>
      <c r="M56">
        <f t="shared" si="7"/>
        <v>34868.84210526316</v>
      </c>
      <c r="N56" s="27" t="s">
        <v>19</v>
      </c>
      <c r="O56" s="4">
        <v>628.9473684210526</v>
      </c>
      <c r="P56" s="3"/>
      <c r="R56">
        <v>998</v>
      </c>
      <c r="T56" s="9">
        <f t="shared" si="8"/>
        <v>-369.0526315789474</v>
      </c>
    </row>
    <row r="57" spans="1:21" x14ac:dyDescent="0.35">
      <c r="A57" s="27" t="s">
        <v>20</v>
      </c>
      <c r="B57" s="3">
        <v>350</v>
      </c>
      <c r="C57" s="3">
        <v>350</v>
      </c>
      <c r="D57" s="3"/>
      <c r="E57" s="4"/>
      <c r="F57" s="4">
        <f t="shared" si="2"/>
        <v>0</v>
      </c>
      <c r="G57" s="3">
        <f t="shared" si="1"/>
        <v>350</v>
      </c>
      <c r="H57" s="3">
        <f t="shared" si="3"/>
        <v>4.6052631578947372</v>
      </c>
      <c r="I57" s="3">
        <f t="shared" si="4"/>
        <v>335.03289473684208</v>
      </c>
      <c r="J57" s="58">
        <f t="shared" si="5"/>
        <v>446.71052631578942</v>
      </c>
      <c r="K57" s="26">
        <f t="shared" si="6"/>
        <v>455.92105263157896</v>
      </c>
      <c r="L57">
        <v>56</v>
      </c>
      <c r="M57">
        <f t="shared" si="7"/>
        <v>25531.57894736842</v>
      </c>
      <c r="N57" s="27" t="s">
        <v>20</v>
      </c>
      <c r="O57" s="4">
        <v>460.5263157894737</v>
      </c>
      <c r="P57" s="3"/>
      <c r="R57">
        <v>2150</v>
      </c>
      <c r="T57" s="9">
        <f t="shared" si="8"/>
        <v>-1689.4736842105262</v>
      </c>
    </row>
    <row r="58" spans="1:21" x14ac:dyDescent="0.35">
      <c r="K58" s="50">
        <f>SUM(K39:K57)</f>
        <v>47574.693157894733</v>
      </c>
      <c r="M58">
        <f>SUM(M39:M57)</f>
        <v>1783387.3026315786</v>
      </c>
    </row>
    <row r="59" spans="1:21" x14ac:dyDescent="0.35">
      <c r="C59" s="2"/>
      <c r="H59" s="29" t="s">
        <v>79</v>
      </c>
      <c r="I59" s="29"/>
      <c r="J59" s="29"/>
    </row>
    <row r="60" spans="1:21" x14ac:dyDescent="0.35">
      <c r="C60" s="2"/>
      <c r="F60" t="s">
        <v>53</v>
      </c>
      <c r="H60" s="29" t="s">
        <v>54</v>
      </c>
      <c r="I60" s="29"/>
      <c r="J60" s="29"/>
      <c r="K60" t="s">
        <v>55</v>
      </c>
    </row>
    <row r="61" spans="1:21" x14ac:dyDescent="0.35">
      <c r="A61" s="12" t="s">
        <v>56</v>
      </c>
      <c r="C61" s="12">
        <f>D29</f>
        <v>7244</v>
      </c>
      <c r="D61" s="12">
        <v>180</v>
      </c>
      <c r="E61" s="12">
        <v>220</v>
      </c>
      <c r="F61" s="35">
        <f>F46</f>
        <v>145</v>
      </c>
      <c r="G61" s="12"/>
      <c r="H61" s="30">
        <v>145</v>
      </c>
      <c r="I61" s="31"/>
      <c r="J61" s="31"/>
      <c r="K61" s="32">
        <f>H61/C61</f>
        <v>2.0016565433462176E-2</v>
      </c>
    </row>
    <row r="62" spans="1:21" x14ac:dyDescent="0.35">
      <c r="A62" s="14" t="s">
        <v>57</v>
      </c>
      <c r="C62" s="14">
        <f>D27</f>
        <v>15038</v>
      </c>
      <c r="D62" s="14"/>
      <c r="E62" s="14"/>
      <c r="F62" s="13">
        <v>310</v>
      </c>
      <c r="G62" s="14"/>
      <c r="H62" s="30">
        <v>310</v>
      </c>
      <c r="I62" s="31"/>
      <c r="J62" s="31"/>
      <c r="K62" s="32">
        <f>H62/C62</f>
        <v>2.0614443410027928E-2</v>
      </c>
    </row>
    <row r="63" spans="1:21" x14ac:dyDescent="0.35">
      <c r="A63" s="38" t="s">
        <v>23</v>
      </c>
      <c r="C63" s="38">
        <f>D32</f>
        <v>7438</v>
      </c>
      <c r="D63" s="38">
        <v>220</v>
      </c>
      <c r="E63" s="38">
        <v>0</v>
      </c>
      <c r="F63" s="36">
        <f>F47</f>
        <v>114</v>
      </c>
      <c r="G63" s="38"/>
      <c r="H63" s="30">
        <v>114</v>
      </c>
      <c r="I63" s="31"/>
      <c r="J63" s="31"/>
      <c r="K63" s="32">
        <v>2.0102339181286549E-2</v>
      </c>
      <c r="L63" t="s">
        <v>86</v>
      </c>
    </row>
    <row r="69" spans="1:14" x14ac:dyDescent="0.35">
      <c r="A69" s="48" t="s">
        <v>80</v>
      </c>
      <c r="D69" t="s">
        <v>42</v>
      </c>
      <c r="E69" t="s">
        <v>71</v>
      </c>
      <c r="K69" t="s">
        <v>72</v>
      </c>
      <c r="N69" s="29" t="s">
        <v>67</v>
      </c>
    </row>
    <row r="70" spans="1:14" x14ac:dyDescent="0.35">
      <c r="A70">
        <v>2023</v>
      </c>
      <c r="C70" t="s">
        <v>27</v>
      </c>
      <c r="D70" t="s">
        <v>28</v>
      </c>
      <c r="E70" s="2" t="s">
        <v>1</v>
      </c>
      <c r="N70" s="42"/>
    </row>
    <row r="71" spans="1:14" x14ac:dyDescent="0.35">
      <c r="A71" s="17" t="s">
        <v>29</v>
      </c>
      <c r="B71" s="17"/>
      <c r="C71" s="3"/>
      <c r="D71" s="3">
        <v>2052</v>
      </c>
      <c r="E71" s="4">
        <f>(D71-(D71/228*3))*0.99/0.75</f>
        <v>2673</v>
      </c>
      <c r="K71" s="3">
        <v>579</v>
      </c>
      <c r="N71" s="46">
        <f>E71-K71</f>
        <v>2094</v>
      </c>
    </row>
    <row r="72" spans="1:14" x14ac:dyDescent="0.35">
      <c r="A72" s="17" t="s">
        <v>30</v>
      </c>
      <c r="B72" s="17"/>
      <c r="C72" s="3"/>
      <c r="D72" s="3">
        <v>2052</v>
      </c>
      <c r="E72" s="4">
        <f t="shared" ref="E72:E79" si="9">(D72-(D72/228*3))*0.99/0.75</f>
        <v>2673</v>
      </c>
      <c r="K72" s="3">
        <v>387</v>
      </c>
      <c r="N72" s="46">
        <f t="shared" ref="N72:N79" si="10">E72-K72</f>
        <v>2286</v>
      </c>
    </row>
    <row r="73" spans="1:14" x14ac:dyDescent="0.35">
      <c r="A73" s="17" t="s">
        <v>31</v>
      </c>
      <c r="B73" s="17"/>
      <c r="C73" s="3"/>
      <c r="D73" s="3">
        <v>3876</v>
      </c>
      <c r="E73" s="41">
        <f t="shared" si="9"/>
        <v>5049</v>
      </c>
      <c r="F73" s="20" t="s">
        <v>64</v>
      </c>
      <c r="K73" s="3">
        <v>5003</v>
      </c>
      <c r="N73" s="46">
        <f t="shared" si="10"/>
        <v>46</v>
      </c>
    </row>
    <row r="74" spans="1:14" x14ac:dyDescent="0.35">
      <c r="A74" s="17" t="s">
        <v>32</v>
      </c>
      <c r="B74" s="17"/>
      <c r="C74" s="3"/>
      <c r="D74" s="3">
        <v>684</v>
      </c>
      <c r="E74" s="4">
        <f t="shared" si="9"/>
        <v>891</v>
      </c>
      <c r="K74" s="3">
        <v>711</v>
      </c>
      <c r="N74" s="46">
        <f t="shared" si="10"/>
        <v>180</v>
      </c>
    </row>
    <row r="75" spans="1:14" x14ac:dyDescent="0.35">
      <c r="A75" s="17" t="s">
        <v>33</v>
      </c>
      <c r="B75" s="17"/>
      <c r="C75" s="3"/>
      <c r="D75" s="3">
        <v>684</v>
      </c>
      <c r="E75" s="4">
        <f t="shared" si="9"/>
        <v>891</v>
      </c>
      <c r="K75" s="3">
        <v>671</v>
      </c>
      <c r="N75" s="46">
        <f t="shared" si="10"/>
        <v>220</v>
      </c>
    </row>
    <row r="76" spans="1:14" x14ac:dyDescent="0.35">
      <c r="A76" s="17" t="s">
        <v>34</v>
      </c>
      <c r="B76" s="17"/>
      <c r="C76" s="3"/>
      <c r="D76" s="3">
        <v>1140</v>
      </c>
      <c r="E76" s="4">
        <f t="shared" si="9"/>
        <v>1485</v>
      </c>
      <c r="K76" s="3">
        <v>882</v>
      </c>
      <c r="N76" s="46">
        <f t="shared" si="10"/>
        <v>603</v>
      </c>
    </row>
    <row r="77" spans="1:14" x14ac:dyDescent="0.35">
      <c r="A77" s="3" t="s">
        <v>35</v>
      </c>
      <c r="B77" s="3"/>
      <c r="C77" s="3"/>
      <c r="D77" s="3">
        <v>912</v>
      </c>
      <c r="E77" s="4">
        <f t="shared" si="9"/>
        <v>1188</v>
      </c>
      <c r="K77" s="3">
        <v>861</v>
      </c>
      <c r="N77" s="46">
        <f t="shared" si="10"/>
        <v>327</v>
      </c>
    </row>
    <row r="78" spans="1:14" x14ac:dyDescent="0.35">
      <c r="A78" s="3" t="s">
        <v>36</v>
      </c>
      <c r="B78" s="3"/>
      <c r="C78" s="3"/>
      <c r="D78" s="3">
        <v>684</v>
      </c>
      <c r="E78" s="4">
        <f t="shared" si="9"/>
        <v>891</v>
      </c>
      <c r="K78" s="3">
        <v>426</v>
      </c>
      <c r="N78" s="46">
        <f t="shared" si="10"/>
        <v>465</v>
      </c>
    </row>
    <row r="79" spans="1:14" x14ac:dyDescent="0.35">
      <c r="A79" s="3" t="s">
        <v>37</v>
      </c>
      <c r="B79" s="3"/>
      <c r="C79" s="3">
        <v>5814</v>
      </c>
      <c r="D79" s="3">
        <f>C79-C82</f>
        <v>5277.06</v>
      </c>
      <c r="E79" s="41">
        <f t="shared" si="9"/>
        <v>6874.0649999999996</v>
      </c>
      <c r="F79" s="20" t="s">
        <v>65</v>
      </c>
      <c r="K79" s="3">
        <v>5480</v>
      </c>
      <c r="N79" s="46">
        <f t="shared" si="10"/>
        <v>1394.0649999999996</v>
      </c>
    </row>
    <row r="80" spans="1:14" x14ac:dyDescent="0.35">
      <c r="A80" s="18" t="s">
        <v>38</v>
      </c>
      <c r="B80" s="1"/>
      <c r="C80" s="1"/>
      <c r="D80" s="1">
        <f>D71+D72+D73+D74+D75+D76+D77+D78+C79</f>
        <v>17898</v>
      </c>
      <c r="N80" s="29"/>
    </row>
    <row r="81" spans="1:9" x14ac:dyDescent="0.35">
      <c r="C81" s="19">
        <v>0.03</v>
      </c>
    </row>
    <row r="82" spans="1:9" x14ac:dyDescent="0.35">
      <c r="A82" s="1" t="s">
        <v>39</v>
      </c>
      <c r="B82" s="1"/>
      <c r="C82" s="1">
        <f>D80*0.03</f>
        <v>536.93999999999994</v>
      </c>
      <c r="D82" s="1" t="s">
        <v>40</v>
      </c>
      <c r="E82" t="s">
        <v>41</v>
      </c>
    </row>
    <row r="83" spans="1:9" x14ac:dyDescent="0.35">
      <c r="B83" t="s">
        <v>58</v>
      </c>
    </row>
    <row r="86" spans="1:9" x14ac:dyDescent="0.35">
      <c r="B86" t="s">
        <v>93</v>
      </c>
      <c r="G86" t="s">
        <v>100</v>
      </c>
    </row>
    <row r="87" spans="1:9" x14ac:dyDescent="0.35">
      <c r="B87" t="s">
        <v>92</v>
      </c>
      <c r="C87" t="s">
        <v>94</v>
      </c>
      <c r="D87" t="s">
        <v>95</v>
      </c>
      <c r="E87" t="s">
        <v>96</v>
      </c>
      <c r="F87" t="s">
        <v>97</v>
      </c>
      <c r="G87" t="s">
        <v>98</v>
      </c>
      <c r="H87" t="s">
        <v>99</v>
      </c>
      <c r="I87" t="s">
        <v>101</v>
      </c>
    </row>
    <row r="88" spans="1:9" x14ac:dyDescent="0.35">
      <c r="A88" s="25" t="s">
        <v>2</v>
      </c>
      <c r="B88">
        <v>1030.2631578947369</v>
      </c>
      <c r="C88" s="3">
        <f>B88/0.75</f>
        <v>1373.6842105263158</v>
      </c>
      <c r="D88" s="3">
        <v>1320</v>
      </c>
      <c r="E88" s="4">
        <v>1198</v>
      </c>
      <c r="F88" s="4">
        <f>D88-E88</f>
        <v>122</v>
      </c>
      <c r="G88" s="3"/>
      <c r="H88" s="3"/>
      <c r="I88" s="47">
        <f>F88-G88-H88</f>
        <v>122</v>
      </c>
    </row>
    <row r="89" spans="1:9" x14ac:dyDescent="0.35">
      <c r="A89" s="27" t="s">
        <v>3</v>
      </c>
      <c r="B89">
        <v>675</v>
      </c>
      <c r="C89" s="3">
        <f t="shared" ref="C89:C105" si="11">B89/0.75</f>
        <v>900</v>
      </c>
      <c r="D89" s="3">
        <v>850</v>
      </c>
      <c r="E89" s="4">
        <v>723</v>
      </c>
      <c r="F89" s="4">
        <f t="shared" ref="F89:F105" si="12">D89-E89</f>
        <v>127</v>
      </c>
      <c r="G89" s="3">
        <v>60</v>
      </c>
      <c r="H89" s="3">
        <v>36</v>
      </c>
      <c r="I89" s="47">
        <f t="shared" ref="I89:I105" si="13">F89-G89-H89</f>
        <v>31</v>
      </c>
    </row>
    <row r="90" spans="1:9" x14ac:dyDescent="0.35">
      <c r="A90" s="44" t="s">
        <v>4</v>
      </c>
      <c r="B90">
        <v>2028.9473684210527</v>
      </c>
      <c r="C90" s="3">
        <f t="shared" si="11"/>
        <v>2705.2631578947371</v>
      </c>
      <c r="D90" s="28">
        <v>2650</v>
      </c>
      <c r="E90" s="13">
        <v>2066</v>
      </c>
      <c r="F90" s="4">
        <f t="shared" si="12"/>
        <v>584</v>
      </c>
      <c r="G90" s="3"/>
      <c r="H90" s="3"/>
      <c r="I90" s="47">
        <f t="shared" si="13"/>
        <v>584</v>
      </c>
    </row>
    <row r="91" spans="1:9" x14ac:dyDescent="0.35">
      <c r="A91" s="27" t="s">
        <v>6</v>
      </c>
      <c r="B91">
        <v>471.71052631578948</v>
      </c>
      <c r="C91" s="3">
        <f t="shared" si="11"/>
        <v>628.9473684210526</v>
      </c>
      <c r="D91" s="3">
        <v>600</v>
      </c>
      <c r="E91" s="4">
        <v>579</v>
      </c>
      <c r="F91" s="4">
        <f t="shared" si="12"/>
        <v>21</v>
      </c>
      <c r="G91" s="3"/>
      <c r="H91" s="3"/>
      <c r="I91" s="47">
        <f t="shared" si="13"/>
        <v>21</v>
      </c>
    </row>
    <row r="92" spans="1:9" x14ac:dyDescent="0.35">
      <c r="A92" s="44" t="s">
        <v>7</v>
      </c>
      <c r="B92">
        <v>844.73684210526312</v>
      </c>
      <c r="C92" s="3">
        <f t="shared" si="11"/>
        <v>1126.3157894736842</v>
      </c>
      <c r="D92" s="3">
        <v>1100</v>
      </c>
      <c r="E92" s="4">
        <v>1012</v>
      </c>
      <c r="F92" s="4">
        <f t="shared" si="12"/>
        <v>88</v>
      </c>
      <c r="G92" s="3">
        <v>12</v>
      </c>
      <c r="H92" s="3">
        <v>12</v>
      </c>
      <c r="I92" s="47">
        <f t="shared" si="13"/>
        <v>64</v>
      </c>
    </row>
    <row r="93" spans="1:9" x14ac:dyDescent="0.35">
      <c r="A93" s="27" t="s">
        <v>8</v>
      </c>
      <c r="B93">
        <v>1014.4736842105264</v>
      </c>
      <c r="C93" s="3">
        <f t="shared" si="11"/>
        <v>1352.6315789473686</v>
      </c>
      <c r="D93" s="3">
        <v>1320</v>
      </c>
      <c r="E93" s="4">
        <v>1135</v>
      </c>
      <c r="F93" s="4">
        <f t="shared" si="12"/>
        <v>185</v>
      </c>
      <c r="G93" s="3">
        <v>12</v>
      </c>
      <c r="H93" s="3">
        <v>12</v>
      </c>
      <c r="I93" s="47">
        <f t="shared" si="13"/>
        <v>161</v>
      </c>
    </row>
    <row r="94" spans="1:9" x14ac:dyDescent="0.35">
      <c r="A94" s="44" t="s">
        <v>9</v>
      </c>
      <c r="B94">
        <v>4500.9868421052633</v>
      </c>
      <c r="C94" s="3">
        <f t="shared" si="11"/>
        <v>6001.3157894736842</v>
      </c>
      <c r="D94" s="51">
        <v>5980</v>
      </c>
      <c r="E94" s="13">
        <v>5480</v>
      </c>
      <c r="F94" s="4">
        <f t="shared" si="12"/>
        <v>500</v>
      </c>
      <c r="G94" s="3"/>
      <c r="H94" s="3"/>
      <c r="I94" s="47">
        <f t="shared" si="13"/>
        <v>500</v>
      </c>
    </row>
    <row r="95" spans="1:9" x14ac:dyDescent="0.35">
      <c r="A95" s="25" t="s">
        <v>10</v>
      </c>
      <c r="B95">
        <v>5975.3289473684208</v>
      </c>
      <c r="C95" s="3">
        <f t="shared" si="11"/>
        <v>7967.1052631578941</v>
      </c>
      <c r="D95" s="28">
        <v>7948</v>
      </c>
      <c r="E95" s="39">
        <v>5394</v>
      </c>
      <c r="F95" s="4">
        <f t="shared" si="12"/>
        <v>2554</v>
      </c>
      <c r="G95" s="3">
        <v>300</v>
      </c>
      <c r="H95" s="3">
        <v>240</v>
      </c>
      <c r="I95" s="47">
        <f t="shared" si="13"/>
        <v>2014</v>
      </c>
    </row>
    <row r="96" spans="1:9" x14ac:dyDescent="0.35">
      <c r="A96" s="45" t="s">
        <v>11</v>
      </c>
      <c r="B96">
        <v>7227.6315789473683</v>
      </c>
      <c r="C96" s="3">
        <f t="shared" si="11"/>
        <v>9636.8421052631584</v>
      </c>
      <c r="D96" s="28">
        <v>9500</v>
      </c>
      <c r="E96" s="4">
        <v>8313</v>
      </c>
      <c r="F96" s="4">
        <f t="shared" si="12"/>
        <v>1187</v>
      </c>
      <c r="G96" s="3">
        <v>120</v>
      </c>
      <c r="H96" s="3"/>
      <c r="I96" s="47">
        <f t="shared" si="13"/>
        <v>1067</v>
      </c>
    </row>
    <row r="97" spans="1:9" x14ac:dyDescent="0.35">
      <c r="A97" s="27" t="s">
        <v>12</v>
      </c>
      <c r="B97">
        <v>471.71052631578948</v>
      </c>
      <c r="C97" s="3">
        <f t="shared" si="11"/>
        <v>628.9473684210526</v>
      </c>
      <c r="D97" s="3">
        <v>600</v>
      </c>
      <c r="E97" s="4">
        <v>571</v>
      </c>
      <c r="F97" s="4">
        <f t="shared" si="12"/>
        <v>29</v>
      </c>
      <c r="G97" s="3">
        <v>24</v>
      </c>
      <c r="H97" s="3"/>
      <c r="I97" s="47">
        <f t="shared" si="13"/>
        <v>5</v>
      </c>
    </row>
    <row r="98" spans="1:9" x14ac:dyDescent="0.35">
      <c r="A98" s="44" t="s">
        <v>13</v>
      </c>
      <c r="B98">
        <v>246.71052631578948</v>
      </c>
      <c r="C98" s="3">
        <f t="shared" si="11"/>
        <v>328.94736842105266</v>
      </c>
      <c r="D98" s="3">
        <v>300</v>
      </c>
      <c r="E98" s="4">
        <v>257</v>
      </c>
      <c r="F98" s="4">
        <f t="shared" si="12"/>
        <v>43</v>
      </c>
      <c r="G98" s="3"/>
      <c r="H98" s="3"/>
      <c r="I98" s="47">
        <f t="shared" si="13"/>
        <v>43</v>
      </c>
    </row>
    <row r="99" spans="1:9" x14ac:dyDescent="0.35">
      <c r="A99" s="27" t="s">
        <v>14</v>
      </c>
      <c r="B99">
        <v>450</v>
      </c>
      <c r="C99" s="3">
        <f t="shared" si="11"/>
        <v>600</v>
      </c>
      <c r="D99" s="3">
        <v>580</v>
      </c>
      <c r="E99" s="4">
        <v>566</v>
      </c>
      <c r="F99" s="4">
        <f t="shared" si="12"/>
        <v>14</v>
      </c>
      <c r="G99" s="3"/>
      <c r="H99" s="3"/>
      <c r="I99" s="47">
        <f t="shared" si="13"/>
        <v>14</v>
      </c>
    </row>
    <row r="100" spans="1:9" x14ac:dyDescent="0.35">
      <c r="A100" s="27" t="s">
        <v>15</v>
      </c>
      <c r="B100">
        <v>1014.4736842105264</v>
      </c>
      <c r="C100" s="3">
        <f t="shared" si="11"/>
        <v>1352.6315789473686</v>
      </c>
      <c r="D100" s="3">
        <v>1300</v>
      </c>
      <c r="E100" s="4">
        <v>1164</v>
      </c>
      <c r="F100" s="4">
        <f t="shared" si="12"/>
        <v>136</v>
      </c>
      <c r="G100" s="3">
        <v>12</v>
      </c>
      <c r="H100" s="3"/>
      <c r="I100" s="47">
        <f t="shared" si="13"/>
        <v>124</v>
      </c>
    </row>
    <row r="101" spans="1:9" x14ac:dyDescent="0.35">
      <c r="A101" s="27" t="s">
        <v>16</v>
      </c>
      <c r="B101">
        <v>0</v>
      </c>
      <c r="C101" s="3">
        <f t="shared" si="11"/>
        <v>0</v>
      </c>
      <c r="D101" s="3"/>
      <c r="E101" s="4"/>
      <c r="F101" s="4"/>
      <c r="G101" s="3"/>
      <c r="H101" s="3"/>
      <c r="I101" s="47">
        <f t="shared" si="13"/>
        <v>0</v>
      </c>
    </row>
    <row r="102" spans="1:9" x14ac:dyDescent="0.35">
      <c r="A102" s="27" t="s">
        <v>17</v>
      </c>
      <c r="B102">
        <v>0</v>
      </c>
      <c r="C102" s="3">
        <f t="shared" si="11"/>
        <v>0</v>
      </c>
      <c r="D102" s="3"/>
      <c r="E102" s="4"/>
      <c r="F102" s="4"/>
      <c r="G102" s="3"/>
      <c r="H102" s="3"/>
      <c r="I102" s="47">
        <f t="shared" si="13"/>
        <v>0</v>
      </c>
    </row>
    <row r="103" spans="1:9" x14ac:dyDescent="0.35">
      <c r="A103" s="44" t="s">
        <v>18</v>
      </c>
      <c r="B103">
        <v>1859.2105263157894</v>
      </c>
      <c r="C103" s="3">
        <f t="shared" si="11"/>
        <v>2478.9473684210525</v>
      </c>
      <c r="D103" s="3">
        <v>2400</v>
      </c>
      <c r="E103" s="4">
        <v>2277</v>
      </c>
      <c r="F103" s="4">
        <f t="shared" si="12"/>
        <v>123</v>
      </c>
      <c r="G103" s="3"/>
      <c r="H103" s="3"/>
      <c r="I103" s="47">
        <f t="shared" si="13"/>
        <v>123</v>
      </c>
    </row>
    <row r="104" spans="1:9" x14ac:dyDescent="0.35">
      <c r="A104" s="44" t="s">
        <v>19</v>
      </c>
      <c r="B104">
        <v>471.71052631578948</v>
      </c>
      <c r="C104" s="3">
        <f t="shared" si="11"/>
        <v>628.9473684210526</v>
      </c>
      <c r="D104" s="3">
        <v>600</v>
      </c>
      <c r="E104" s="4">
        <v>469</v>
      </c>
      <c r="F104" s="4">
        <f t="shared" si="12"/>
        <v>131</v>
      </c>
      <c r="G104" s="3">
        <v>60</v>
      </c>
      <c r="H104" s="3">
        <v>36</v>
      </c>
      <c r="I104" s="47">
        <f t="shared" si="13"/>
        <v>35</v>
      </c>
    </row>
    <row r="105" spans="1:9" x14ac:dyDescent="0.35">
      <c r="A105" s="27" t="s">
        <v>20</v>
      </c>
      <c r="B105">
        <v>345.39473684210526</v>
      </c>
      <c r="C105" s="3">
        <f t="shared" si="11"/>
        <v>460.5263157894737</v>
      </c>
      <c r="D105" s="3">
        <v>420</v>
      </c>
      <c r="E105" s="4">
        <v>399</v>
      </c>
      <c r="F105" s="4">
        <f t="shared" si="12"/>
        <v>21</v>
      </c>
      <c r="G105" s="3"/>
      <c r="H105" s="3"/>
      <c r="I105" s="47">
        <f t="shared" si="13"/>
        <v>21</v>
      </c>
    </row>
    <row r="106" spans="1:9" x14ac:dyDescent="0.35">
      <c r="G106">
        <f>SUM(G88:G105)</f>
        <v>600</v>
      </c>
      <c r="H106">
        <f>SUM(H88:H105)</f>
        <v>336</v>
      </c>
    </row>
  </sheetData>
  <mergeCells count="1">
    <mergeCell ref="G26:K26"/>
  </mergeCells>
  <pageMargins left="0.7" right="0.7" top="0.75" bottom="0.75" header="0.3" footer="0.3"/>
  <pageSetup paperSize="9" scale="38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1C63DE-DDD3-4E96-A3C5-ACFA7449F225}">
  <dimension ref="A1:R41"/>
  <sheetViews>
    <sheetView tabSelected="1" topLeftCell="A10" workbookViewId="0">
      <selection activeCell="N28" sqref="N28"/>
    </sheetView>
  </sheetViews>
  <sheetFormatPr baseColWidth="10" defaultRowHeight="14.5" x14ac:dyDescent="0.35"/>
  <cols>
    <col min="1" max="1" width="33.81640625" bestFit="1" customWidth="1"/>
    <col min="7" max="7" width="14.7265625" bestFit="1" customWidth="1"/>
    <col min="8" max="8" width="14.7265625" customWidth="1"/>
    <col min="9" max="9" width="14.7265625" style="29" customWidth="1"/>
    <col min="10" max="10" width="14.7265625" customWidth="1"/>
    <col min="11" max="11" width="14.7265625" style="29" customWidth="1"/>
  </cols>
  <sheetData>
    <row r="1" spans="1:15" x14ac:dyDescent="0.35">
      <c r="J1" s="63" t="s">
        <v>110</v>
      </c>
      <c r="K1" s="63"/>
    </row>
    <row r="2" spans="1:15" x14ac:dyDescent="0.35">
      <c r="J2" s="63" t="s">
        <v>109</v>
      </c>
      <c r="K2" s="63"/>
      <c r="M2" t="s">
        <v>107</v>
      </c>
    </row>
    <row r="3" spans="1:15" x14ac:dyDescent="0.35">
      <c r="B3">
        <v>2023</v>
      </c>
      <c r="G3" t="s">
        <v>104</v>
      </c>
      <c r="H3" t="s">
        <v>105</v>
      </c>
      <c r="J3" s="63" t="s">
        <v>108</v>
      </c>
      <c r="K3" s="63"/>
      <c r="L3" t="s">
        <v>102</v>
      </c>
      <c r="M3" t="s">
        <v>106</v>
      </c>
    </row>
    <row r="4" spans="1:15" x14ac:dyDescent="0.35">
      <c r="A4" t="s">
        <v>83</v>
      </c>
      <c r="B4" t="s">
        <v>26</v>
      </c>
      <c r="C4" t="s">
        <v>73</v>
      </c>
      <c r="D4" s="19">
        <v>20.239999999999998</v>
      </c>
      <c r="F4" t="s">
        <v>84</v>
      </c>
      <c r="G4" t="s">
        <v>85</v>
      </c>
      <c r="I4" s="63" t="s">
        <v>114</v>
      </c>
      <c r="J4" s="63" t="s">
        <v>111</v>
      </c>
      <c r="K4" s="63" t="s">
        <v>91</v>
      </c>
      <c r="L4" s="61">
        <v>46049</v>
      </c>
      <c r="M4" s="61">
        <v>27</v>
      </c>
    </row>
    <row r="5" spans="1:15" x14ac:dyDescent="0.35">
      <c r="A5" s="25" t="s">
        <v>2</v>
      </c>
      <c r="B5" s="49">
        <v>1514</v>
      </c>
      <c r="C5" s="3">
        <v>1044</v>
      </c>
      <c r="D5" s="3">
        <f>C5/B5*100</f>
        <v>68.956406869220615</v>
      </c>
      <c r="E5" s="3">
        <v>65</v>
      </c>
      <c r="F5" s="3">
        <v>2000</v>
      </c>
      <c r="G5" s="3">
        <v>1350</v>
      </c>
      <c r="H5" s="3"/>
      <c r="I5" s="64"/>
      <c r="J5" s="3"/>
      <c r="K5" s="64"/>
      <c r="L5" s="3"/>
      <c r="M5" s="62">
        <v>200</v>
      </c>
      <c r="O5" s="26">
        <v>1359.9473684210527</v>
      </c>
    </row>
    <row r="6" spans="1:15" x14ac:dyDescent="0.35">
      <c r="A6" s="27" t="s">
        <v>3</v>
      </c>
      <c r="B6" s="49">
        <v>1540</v>
      </c>
      <c r="C6" s="3">
        <v>684</v>
      </c>
      <c r="D6" s="3">
        <f t="shared" ref="D6:D23" si="0">C6/B6*100</f>
        <v>44.415584415584412</v>
      </c>
      <c r="E6" s="3">
        <v>44</v>
      </c>
      <c r="F6" s="3">
        <v>2006</v>
      </c>
      <c r="G6" s="3">
        <v>885</v>
      </c>
      <c r="H6" s="3">
        <v>873</v>
      </c>
      <c r="I6" s="64">
        <v>873</v>
      </c>
      <c r="J6" s="3">
        <v>880</v>
      </c>
      <c r="K6" s="64">
        <v>891</v>
      </c>
      <c r="L6" s="3">
        <v>777</v>
      </c>
      <c r="M6">
        <f>J6-L6</f>
        <v>103</v>
      </c>
      <c r="O6" s="26">
        <v>891</v>
      </c>
    </row>
    <row r="7" spans="1:15" s="53" customFormat="1" x14ac:dyDescent="0.35">
      <c r="A7" s="52" t="s">
        <v>4</v>
      </c>
      <c r="B7" s="30">
        <v>4261</v>
      </c>
      <c r="C7" s="40">
        <v>2056</v>
      </c>
      <c r="D7" s="40">
        <f t="shared" si="0"/>
        <v>48.251584135179534</v>
      </c>
      <c r="E7" s="40">
        <v>45</v>
      </c>
      <c r="F7" s="40">
        <v>4411</v>
      </c>
      <c r="G7" s="40">
        <v>1881</v>
      </c>
      <c r="H7" s="40"/>
      <c r="I7" s="64"/>
      <c r="J7" s="40">
        <v>2639</v>
      </c>
      <c r="K7" s="64"/>
      <c r="L7" s="66">
        <v>2018</v>
      </c>
      <c r="M7">
        <f t="shared" ref="M7:M22" si="1">J7-L7</f>
        <v>621</v>
      </c>
      <c r="O7" s="26">
        <v>2678.2105263157896</v>
      </c>
    </row>
    <row r="8" spans="1:15" x14ac:dyDescent="0.35">
      <c r="A8" s="27" t="s">
        <v>6</v>
      </c>
      <c r="B8" s="49">
        <v>1940</v>
      </c>
      <c r="C8" s="3">
        <v>478</v>
      </c>
      <c r="D8" s="3">
        <f t="shared" si="0"/>
        <v>24.63917525773196</v>
      </c>
      <c r="E8" s="3">
        <v>25</v>
      </c>
      <c r="F8" s="3">
        <v>2527</v>
      </c>
      <c r="G8" s="3">
        <v>618</v>
      </c>
      <c r="H8" s="3">
        <v>610</v>
      </c>
      <c r="I8" s="64">
        <v>610</v>
      </c>
      <c r="J8" s="3">
        <v>615</v>
      </c>
      <c r="K8" s="64">
        <v>623</v>
      </c>
      <c r="L8" s="3">
        <v>605</v>
      </c>
      <c r="M8">
        <f t="shared" si="1"/>
        <v>10</v>
      </c>
      <c r="O8" s="26">
        <v>622.65789473684208</v>
      </c>
    </row>
    <row r="9" spans="1:15" s="53" customFormat="1" x14ac:dyDescent="0.35">
      <c r="A9" s="52" t="s">
        <v>7</v>
      </c>
      <c r="B9" s="30">
        <v>2506</v>
      </c>
      <c r="C9" s="40">
        <v>856</v>
      </c>
      <c r="D9" s="40">
        <f t="shared" si="0"/>
        <v>34.158020750199519</v>
      </c>
      <c r="E9" s="40">
        <v>35</v>
      </c>
      <c r="F9" s="40">
        <v>3210</v>
      </c>
      <c r="G9" s="40">
        <v>1004</v>
      </c>
      <c r="H9" s="40">
        <v>1092</v>
      </c>
      <c r="I9" s="64">
        <v>1092</v>
      </c>
      <c r="J9" s="65">
        <v>1110</v>
      </c>
      <c r="K9" s="64">
        <v>1115</v>
      </c>
      <c r="L9" s="65">
        <v>1047</v>
      </c>
      <c r="M9">
        <f t="shared" si="1"/>
        <v>63</v>
      </c>
      <c r="O9" s="26">
        <v>1115.0526315789473</v>
      </c>
    </row>
    <row r="10" spans="1:15" x14ac:dyDescent="0.35">
      <c r="A10" s="27" t="s">
        <v>8</v>
      </c>
      <c r="B10" s="49">
        <v>2374</v>
      </c>
      <c r="C10" s="3">
        <v>1028</v>
      </c>
      <c r="D10" s="3">
        <f t="shared" si="0"/>
        <v>43.302443133951137</v>
      </c>
      <c r="E10" s="3">
        <v>45</v>
      </c>
      <c r="F10" s="3">
        <v>3034</v>
      </c>
      <c r="G10" s="3">
        <v>1206</v>
      </c>
      <c r="H10" s="3">
        <v>1312</v>
      </c>
      <c r="I10" s="64">
        <v>1312</v>
      </c>
      <c r="J10" s="3">
        <v>1320</v>
      </c>
      <c r="K10" s="64">
        <v>1339</v>
      </c>
      <c r="L10" s="3">
        <v>1179</v>
      </c>
      <c r="M10">
        <f t="shared" si="1"/>
        <v>141</v>
      </c>
      <c r="O10" s="26">
        <v>1339.1052631578948</v>
      </c>
    </row>
    <row r="11" spans="1:15" x14ac:dyDescent="0.35">
      <c r="A11" s="44" t="s">
        <v>9</v>
      </c>
      <c r="B11" s="49">
        <v>11564</v>
      </c>
      <c r="C11" s="3">
        <v>5012</v>
      </c>
      <c r="D11" s="3">
        <f t="shared" si="0"/>
        <v>43.341404358353515</v>
      </c>
      <c r="E11" s="3">
        <v>43</v>
      </c>
      <c r="F11" s="3">
        <v>14617</v>
      </c>
      <c r="G11" s="3">
        <v>5892</v>
      </c>
      <c r="H11" s="3">
        <v>5821</v>
      </c>
      <c r="I11" s="64"/>
      <c r="J11" s="30">
        <v>6166</v>
      </c>
      <c r="K11" s="67"/>
      <c r="L11" s="54">
        <v>5630</v>
      </c>
      <c r="M11">
        <f t="shared" si="1"/>
        <v>536</v>
      </c>
      <c r="O11" s="26">
        <v>6124.9736842105267</v>
      </c>
    </row>
    <row r="12" spans="1:15" x14ac:dyDescent="0.35">
      <c r="A12" s="25" t="s">
        <v>10</v>
      </c>
      <c r="B12" s="49">
        <v>5446</v>
      </c>
      <c r="C12" s="3">
        <v>6200</v>
      </c>
      <c r="D12" s="3">
        <f t="shared" si="0"/>
        <v>113.84502387073081</v>
      </c>
      <c r="E12" s="3">
        <v>100</v>
      </c>
      <c r="F12" s="3">
        <v>6930</v>
      </c>
      <c r="G12" s="3">
        <v>7633</v>
      </c>
      <c r="H12" s="3"/>
      <c r="I12" s="64"/>
      <c r="J12" s="3"/>
      <c r="K12" s="64"/>
      <c r="L12" s="3"/>
      <c r="M12">
        <f t="shared" si="1"/>
        <v>0</v>
      </c>
      <c r="O12" s="26">
        <v>7887.4342105263158</v>
      </c>
    </row>
    <row r="13" spans="1:15" x14ac:dyDescent="0.35">
      <c r="A13" s="45" t="s">
        <v>11</v>
      </c>
      <c r="B13" s="49">
        <v>10944</v>
      </c>
      <c r="C13" s="3">
        <v>7438</v>
      </c>
      <c r="D13" s="3">
        <f t="shared" si="0"/>
        <v>67.964181286549703</v>
      </c>
      <c r="E13" s="3">
        <v>70</v>
      </c>
      <c r="F13" s="3">
        <v>13800</v>
      </c>
      <c r="G13" s="3">
        <v>9335</v>
      </c>
      <c r="H13" s="3"/>
      <c r="I13" s="64"/>
      <c r="J13" s="3"/>
      <c r="K13" s="64"/>
      <c r="L13" s="3"/>
      <c r="M13">
        <f t="shared" si="1"/>
        <v>0</v>
      </c>
      <c r="O13" s="26">
        <v>9540.4736842105267</v>
      </c>
    </row>
    <row r="14" spans="1:15" x14ac:dyDescent="0.35">
      <c r="A14" s="27" t="s">
        <v>12</v>
      </c>
      <c r="B14" s="49">
        <v>1606</v>
      </c>
      <c r="C14" s="3">
        <v>478</v>
      </c>
      <c r="D14" s="3">
        <f t="shared" si="0"/>
        <v>29.763387297633876</v>
      </c>
      <c r="E14" s="3">
        <v>30</v>
      </c>
      <c r="F14" s="3">
        <v>2092</v>
      </c>
      <c r="G14" s="3">
        <v>618</v>
      </c>
      <c r="H14" s="3">
        <v>610</v>
      </c>
      <c r="I14" s="64">
        <v>610</v>
      </c>
      <c r="J14" s="3">
        <v>615</v>
      </c>
      <c r="K14" s="64">
        <v>623</v>
      </c>
      <c r="L14" s="3">
        <v>607</v>
      </c>
      <c r="M14">
        <f t="shared" si="1"/>
        <v>8</v>
      </c>
      <c r="O14" s="26">
        <v>9601.68</v>
      </c>
    </row>
    <row r="15" spans="1:15" x14ac:dyDescent="0.35">
      <c r="A15" s="44" t="s">
        <v>13</v>
      </c>
      <c r="B15" s="49">
        <v>684</v>
      </c>
      <c r="C15" s="3">
        <v>250</v>
      </c>
      <c r="D15" s="3">
        <f t="shared" si="0"/>
        <v>36.549707602339183</v>
      </c>
      <c r="E15" s="3">
        <v>35</v>
      </c>
      <c r="F15" s="3">
        <v>873</v>
      </c>
      <c r="G15" s="3">
        <v>323</v>
      </c>
      <c r="H15" s="3">
        <v>319</v>
      </c>
      <c r="I15" s="64">
        <v>319</v>
      </c>
      <c r="J15" s="3">
        <v>320</v>
      </c>
      <c r="K15" s="64">
        <v>323</v>
      </c>
      <c r="L15" s="3">
        <v>263</v>
      </c>
      <c r="M15">
        <f t="shared" si="1"/>
        <v>57</v>
      </c>
      <c r="O15" s="26">
        <v>622.65789473684208</v>
      </c>
    </row>
    <row r="16" spans="1:15" x14ac:dyDescent="0.35">
      <c r="A16" s="27" t="s">
        <v>14</v>
      </c>
      <c r="B16" s="49">
        <v>1734</v>
      </c>
      <c r="C16" s="3">
        <v>456</v>
      </c>
      <c r="D16" s="3">
        <f t="shared" si="0"/>
        <v>26.297577854671278</v>
      </c>
      <c r="E16" s="3">
        <v>25</v>
      </c>
      <c r="F16" s="3">
        <v>2259</v>
      </c>
      <c r="G16" s="3">
        <v>590</v>
      </c>
      <c r="H16" s="3">
        <v>582</v>
      </c>
      <c r="I16" s="64">
        <v>582</v>
      </c>
      <c r="J16" s="3">
        <v>585</v>
      </c>
      <c r="K16" s="64">
        <v>594</v>
      </c>
      <c r="L16" s="3">
        <v>545</v>
      </c>
      <c r="M16">
        <f t="shared" si="1"/>
        <v>40</v>
      </c>
      <c r="O16" s="26">
        <v>325.65789473684214</v>
      </c>
    </row>
    <row r="17" spans="1:18" x14ac:dyDescent="0.35">
      <c r="A17" s="27" t="s">
        <v>15</v>
      </c>
      <c r="B17" s="49">
        <v>1856</v>
      </c>
      <c r="C17" s="3">
        <v>1028</v>
      </c>
      <c r="D17" s="3">
        <f t="shared" si="0"/>
        <v>55.387931034482762</v>
      </c>
      <c r="E17" s="3">
        <v>55</v>
      </c>
      <c r="F17" s="3">
        <v>2326</v>
      </c>
      <c r="G17" s="3">
        <v>1206</v>
      </c>
      <c r="H17" s="3">
        <v>1312</v>
      </c>
      <c r="I17" s="64">
        <v>1312</v>
      </c>
      <c r="J17" s="3">
        <v>1325</v>
      </c>
      <c r="K17" s="64">
        <v>1339</v>
      </c>
      <c r="L17" s="3">
        <v>1174</v>
      </c>
      <c r="M17">
        <f t="shared" si="1"/>
        <v>151</v>
      </c>
      <c r="O17" s="26">
        <v>594</v>
      </c>
    </row>
    <row r="18" spans="1:18" x14ac:dyDescent="0.35">
      <c r="A18" s="27" t="s">
        <v>16</v>
      </c>
      <c r="B18" s="49">
        <v>2402</v>
      </c>
      <c r="C18" s="3">
        <v>0</v>
      </c>
      <c r="D18" s="3">
        <f t="shared" si="0"/>
        <v>0</v>
      </c>
      <c r="E18" s="3"/>
      <c r="F18" s="3"/>
      <c r="G18" s="3"/>
      <c r="H18" s="3"/>
      <c r="I18" s="64"/>
      <c r="J18" s="3"/>
      <c r="K18" s="64"/>
      <c r="L18" s="3"/>
      <c r="M18">
        <f t="shared" si="1"/>
        <v>0</v>
      </c>
      <c r="O18" s="26">
        <v>1339.1052631578948</v>
      </c>
    </row>
    <row r="19" spans="1:18" x14ac:dyDescent="0.35">
      <c r="A19" s="27" t="s">
        <v>17</v>
      </c>
      <c r="B19" s="49">
        <v>1142</v>
      </c>
      <c r="C19" s="3">
        <v>0</v>
      </c>
      <c r="D19" s="3">
        <f t="shared" si="0"/>
        <v>0</v>
      </c>
      <c r="E19" s="3"/>
      <c r="F19" s="3"/>
      <c r="G19" s="3"/>
      <c r="H19" s="3"/>
      <c r="I19" s="64"/>
      <c r="J19" s="3"/>
      <c r="K19" s="64"/>
      <c r="L19" s="3"/>
      <c r="M19">
        <f t="shared" si="1"/>
        <v>0</v>
      </c>
      <c r="O19" s="26">
        <v>0</v>
      </c>
    </row>
    <row r="20" spans="1:18" x14ac:dyDescent="0.35">
      <c r="A20" s="44" t="s">
        <v>18</v>
      </c>
      <c r="B20" s="49">
        <v>5370</v>
      </c>
      <c r="C20" s="3">
        <v>1884</v>
      </c>
      <c r="D20" s="3">
        <f t="shared" si="0"/>
        <v>35.083798882681563</v>
      </c>
      <c r="E20" s="3">
        <v>35</v>
      </c>
      <c r="F20" s="3">
        <v>6871</v>
      </c>
      <c r="G20" s="3">
        <v>2437</v>
      </c>
      <c r="H20" s="3">
        <v>2404</v>
      </c>
      <c r="I20" s="64">
        <v>2404</v>
      </c>
      <c r="J20" s="3">
        <v>2420</v>
      </c>
      <c r="K20" s="68">
        <v>2454.1578947368421</v>
      </c>
      <c r="L20" s="3">
        <v>2318</v>
      </c>
      <c r="M20">
        <f t="shared" si="1"/>
        <v>102</v>
      </c>
      <c r="O20" s="26">
        <v>0</v>
      </c>
    </row>
    <row r="21" spans="1:18" x14ac:dyDescent="0.35">
      <c r="A21" s="44" t="s">
        <v>19</v>
      </c>
      <c r="B21" s="49">
        <v>1526</v>
      </c>
      <c r="C21" s="3">
        <v>478</v>
      </c>
      <c r="D21" s="3">
        <f t="shared" si="0"/>
        <v>31.323722149410223</v>
      </c>
      <c r="E21" s="3">
        <v>30</v>
      </c>
      <c r="F21" s="3">
        <v>1988</v>
      </c>
      <c r="G21" s="3">
        <v>618</v>
      </c>
      <c r="H21" s="3">
        <v>610</v>
      </c>
      <c r="I21" s="64">
        <v>610</v>
      </c>
      <c r="J21" s="3">
        <v>615</v>
      </c>
      <c r="K21" s="68">
        <v>622.65789473684208</v>
      </c>
      <c r="L21" s="3">
        <v>586</v>
      </c>
      <c r="M21">
        <f t="shared" si="1"/>
        <v>29</v>
      </c>
      <c r="O21" s="26">
        <v>2454.1578947368421</v>
      </c>
    </row>
    <row r="22" spans="1:18" x14ac:dyDescent="0.35">
      <c r="A22" s="27" t="s">
        <v>20</v>
      </c>
      <c r="B22" s="49">
        <v>1824</v>
      </c>
      <c r="C22" s="3">
        <v>350</v>
      </c>
      <c r="D22" s="3">
        <f t="shared" si="0"/>
        <v>19.188596491228072</v>
      </c>
      <c r="E22" s="3">
        <v>20</v>
      </c>
      <c r="F22" s="3">
        <v>2333</v>
      </c>
      <c r="G22" s="3">
        <v>453</v>
      </c>
      <c r="H22" s="3">
        <v>446</v>
      </c>
      <c r="I22" s="64">
        <v>446</v>
      </c>
      <c r="J22" s="3">
        <v>450</v>
      </c>
      <c r="K22" s="68">
        <v>455.92105263157896</v>
      </c>
      <c r="L22" s="3">
        <v>432</v>
      </c>
      <c r="M22">
        <f t="shared" si="1"/>
        <v>18</v>
      </c>
      <c r="O22" s="26">
        <v>622.65789473684208</v>
      </c>
    </row>
    <row r="23" spans="1:18" x14ac:dyDescent="0.35">
      <c r="B23">
        <f>SUM(B5:B22)</f>
        <v>60233</v>
      </c>
      <c r="C23">
        <f>SUM(C5:C22)</f>
        <v>29720</v>
      </c>
      <c r="D23">
        <f t="shared" si="0"/>
        <v>49.341722975777394</v>
      </c>
      <c r="O23" s="26">
        <v>455.92105263157896</v>
      </c>
    </row>
    <row r="25" spans="1:18" x14ac:dyDescent="0.35">
      <c r="C25" s="24" t="s">
        <v>115</v>
      </c>
      <c r="Q25" t="s">
        <v>5</v>
      </c>
      <c r="R25" t="s">
        <v>125</v>
      </c>
    </row>
    <row r="26" spans="1:18" x14ac:dyDescent="0.35">
      <c r="B26" s="21" t="s">
        <v>114</v>
      </c>
      <c r="C26" s="24" t="s">
        <v>111</v>
      </c>
      <c r="D26" s="21" t="s">
        <v>91</v>
      </c>
      <c r="F26" t="s">
        <v>117</v>
      </c>
      <c r="G26" t="s">
        <v>118</v>
      </c>
      <c r="H26" t="s">
        <v>97</v>
      </c>
      <c r="I26" t="s">
        <v>119</v>
      </c>
      <c r="J26" s="29" t="s">
        <v>97</v>
      </c>
      <c r="K26" s="29" t="s">
        <v>5</v>
      </c>
      <c r="L26" t="s">
        <v>121</v>
      </c>
      <c r="M26" s="29" t="s">
        <v>120</v>
      </c>
      <c r="N26" s="29" t="s">
        <v>122</v>
      </c>
      <c r="O26" s="29" t="s">
        <v>123</v>
      </c>
      <c r="P26" s="29" t="s">
        <v>124</v>
      </c>
      <c r="Q26" s="29" t="s">
        <v>97</v>
      </c>
    </row>
    <row r="27" spans="1:18" x14ac:dyDescent="0.35">
      <c r="A27" s="69" t="s">
        <v>3</v>
      </c>
      <c r="B27" s="3">
        <v>873</v>
      </c>
      <c r="C27" s="3">
        <v>880</v>
      </c>
      <c r="D27" s="3">
        <v>891</v>
      </c>
      <c r="F27">
        <v>684</v>
      </c>
      <c r="G27">
        <f>F27/228*2.5</f>
        <v>7.5</v>
      </c>
      <c r="H27">
        <f>F27-G27</f>
        <v>676.5</v>
      </c>
      <c r="I27">
        <f>(0.7/100)*H27</f>
        <v>4.7354999999999992</v>
      </c>
      <c r="J27" s="29">
        <f>H27-I27</f>
        <v>671.7645</v>
      </c>
      <c r="K27" s="29">
        <v>1</v>
      </c>
      <c r="L27">
        <f>M27*0.75</f>
        <v>672</v>
      </c>
      <c r="M27" s="29">
        <v>896</v>
      </c>
      <c r="N27">
        <f>F27-L27</f>
        <v>12</v>
      </c>
      <c r="O27">
        <f>G27</f>
        <v>7.5</v>
      </c>
      <c r="P27">
        <f>I27</f>
        <v>4.7354999999999992</v>
      </c>
      <c r="Q27">
        <f>N27-O27-P27</f>
        <v>-0.23549999999999915</v>
      </c>
      <c r="R27" s="71">
        <v>0</v>
      </c>
    </row>
    <row r="28" spans="1:18" x14ac:dyDescent="0.35">
      <c r="A28" s="69" t="s">
        <v>6</v>
      </c>
      <c r="B28" s="3">
        <v>610</v>
      </c>
      <c r="C28" s="3">
        <v>615</v>
      </c>
      <c r="D28" s="3">
        <v>623</v>
      </c>
      <c r="F28">
        <v>478</v>
      </c>
      <c r="G28">
        <f t="shared" ref="G28:G37" si="2">F28/228*2.5</f>
        <v>5.2412280701754383</v>
      </c>
      <c r="H28">
        <f t="shared" ref="H28:H37" si="3">F28-G28</f>
        <v>472.75877192982455</v>
      </c>
      <c r="I28">
        <f t="shared" ref="I28:I37" si="4">(0.7/100)*H28</f>
        <v>3.3093114035087714</v>
      </c>
      <c r="J28" s="29">
        <f t="shared" ref="J28:J37" si="5">H28-I28</f>
        <v>469.44946052631576</v>
      </c>
      <c r="K28" s="29">
        <v>2</v>
      </c>
      <c r="L28">
        <f t="shared" ref="L28:L37" si="6">M28*0.75</f>
        <v>467.25</v>
      </c>
      <c r="M28" s="29">
        <v>623</v>
      </c>
      <c r="N28">
        <f t="shared" ref="N28:N37" si="7">F28-L28</f>
        <v>10.75</v>
      </c>
      <c r="O28">
        <f t="shared" ref="O28:O37" si="8">G28</f>
        <v>5.2412280701754383</v>
      </c>
      <c r="P28">
        <f t="shared" ref="P28:P37" si="9">I28</f>
        <v>3.3093114035087714</v>
      </c>
      <c r="Q28">
        <f t="shared" ref="Q28:Q37" si="10">N28-O28-P28</f>
        <v>2.1994605263157903</v>
      </c>
      <c r="R28" s="71">
        <v>2</v>
      </c>
    </row>
    <row r="29" spans="1:18" x14ac:dyDescent="0.35">
      <c r="A29" s="69" t="s">
        <v>7</v>
      </c>
      <c r="B29" s="3">
        <v>1092</v>
      </c>
      <c r="C29" s="3">
        <v>1110</v>
      </c>
      <c r="D29" s="3">
        <v>1115</v>
      </c>
      <c r="F29">
        <v>856</v>
      </c>
      <c r="G29">
        <f t="shared" si="2"/>
        <v>9.3859649122807021</v>
      </c>
      <c r="H29">
        <f t="shared" si="3"/>
        <v>846.61403508771934</v>
      </c>
      <c r="I29">
        <f t="shared" si="4"/>
        <v>5.926298245614035</v>
      </c>
      <c r="J29" s="29">
        <f t="shared" si="5"/>
        <v>840.68773684210532</v>
      </c>
      <c r="K29" s="29">
        <v>17</v>
      </c>
      <c r="L29">
        <f t="shared" si="6"/>
        <v>823.5</v>
      </c>
      <c r="M29" s="29">
        <v>1098</v>
      </c>
      <c r="N29">
        <f t="shared" si="7"/>
        <v>32.5</v>
      </c>
      <c r="O29">
        <f t="shared" si="8"/>
        <v>9.3859649122807021</v>
      </c>
      <c r="P29">
        <f t="shared" si="9"/>
        <v>5.926298245614035</v>
      </c>
      <c r="Q29">
        <f t="shared" si="10"/>
        <v>17.187736842105263</v>
      </c>
      <c r="R29" s="71">
        <v>17</v>
      </c>
    </row>
    <row r="30" spans="1:18" x14ac:dyDescent="0.35">
      <c r="A30" s="69" t="s">
        <v>8</v>
      </c>
      <c r="B30" s="3">
        <v>1312</v>
      </c>
      <c r="C30" s="3">
        <v>1320</v>
      </c>
      <c r="D30" s="3">
        <v>1339</v>
      </c>
      <c r="F30">
        <v>1028</v>
      </c>
      <c r="G30">
        <f t="shared" si="2"/>
        <v>11.271929824561404</v>
      </c>
      <c r="H30">
        <f t="shared" si="3"/>
        <v>1016.7280701754386</v>
      </c>
      <c r="I30">
        <f t="shared" si="4"/>
        <v>7.117096491228069</v>
      </c>
      <c r="J30" s="29">
        <f t="shared" si="5"/>
        <v>1009.6109736842105</v>
      </c>
      <c r="K30" s="29">
        <v>30</v>
      </c>
      <c r="L30">
        <f t="shared" si="6"/>
        <v>975.75</v>
      </c>
      <c r="M30" s="29">
        <v>1301</v>
      </c>
      <c r="N30">
        <f t="shared" si="7"/>
        <v>52.25</v>
      </c>
      <c r="O30">
        <f t="shared" si="8"/>
        <v>11.271929824561404</v>
      </c>
      <c r="P30">
        <f t="shared" si="9"/>
        <v>7.117096491228069</v>
      </c>
      <c r="Q30">
        <f t="shared" si="10"/>
        <v>33.860973684210528</v>
      </c>
      <c r="R30" s="71">
        <v>33</v>
      </c>
    </row>
    <row r="31" spans="1:18" x14ac:dyDescent="0.35">
      <c r="A31" s="69" t="s">
        <v>12</v>
      </c>
      <c r="B31" s="3">
        <v>610</v>
      </c>
      <c r="C31" s="3">
        <v>615</v>
      </c>
      <c r="D31" s="3">
        <v>623</v>
      </c>
      <c r="F31">
        <v>478</v>
      </c>
      <c r="G31">
        <v>5</v>
      </c>
      <c r="H31">
        <f t="shared" si="3"/>
        <v>473</v>
      </c>
      <c r="I31">
        <f t="shared" si="4"/>
        <v>3.3109999999999995</v>
      </c>
      <c r="J31" s="29">
        <f t="shared" si="5"/>
        <v>469.68900000000002</v>
      </c>
      <c r="K31" s="29">
        <v>9</v>
      </c>
      <c r="L31">
        <f t="shared" si="6"/>
        <v>460.5</v>
      </c>
      <c r="M31" s="29">
        <v>614</v>
      </c>
      <c r="N31">
        <f t="shared" si="7"/>
        <v>17.5</v>
      </c>
      <c r="O31">
        <f t="shared" si="8"/>
        <v>5</v>
      </c>
      <c r="P31">
        <f t="shared" si="9"/>
        <v>3.3109999999999995</v>
      </c>
      <c r="Q31">
        <f t="shared" si="10"/>
        <v>9.1890000000000001</v>
      </c>
      <c r="R31" s="71">
        <v>9</v>
      </c>
    </row>
    <row r="32" spans="1:18" x14ac:dyDescent="0.35">
      <c r="A32" s="69" t="s">
        <v>13</v>
      </c>
      <c r="B32" s="3">
        <v>319</v>
      </c>
      <c r="C32" s="3">
        <v>320</v>
      </c>
      <c r="D32" s="3">
        <v>323</v>
      </c>
      <c r="F32">
        <v>250</v>
      </c>
      <c r="G32">
        <f t="shared" si="2"/>
        <v>2.7412280701754388</v>
      </c>
      <c r="H32">
        <f t="shared" si="3"/>
        <v>247.25877192982455</v>
      </c>
      <c r="I32">
        <f t="shared" si="4"/>
        <v>1.7308114035087716</v>
      </c>
      <c r="J32" s="29">
        <f t="shared" si="5"/>
        <v>245.52796052631578</v>
      </c>
      <c r="K32" s="29">
        <v>2</v>
      </c>
      <c r="L32">
        <f t="shared" si="6"/>
        <v>242.25</v>
      </c>
      <c r="M32" s="29">
        <v>323</v>
      </c>
      <c r="N32">
        <f t="shared" si="7"/>
        <v>7.75</v>
      </c>
      <c r="O32">
        <f t="shared" si="8"/>
        <v>2.7412280701754388</v>
      </c>
      <c r="P32">
        <f t="shared" si="9"/>
        <v>1.7308114035087716</v>
      </c>
      <c r="Q32">
        <f t="shared" si="10"/>
        <v>3.2779605263157903</v>
      </c>
      <c r="R32" s="71">
        <v>3</v>
      </c>
    </row>
    <row r="33" spans="1:18" x14ac:dyDescent="0.35">
      <c r="A33" s="69" t="s">
        <v>14</v>
      </c>
      <c r="B33" s="3">
        <v>582</v>
      </c>
      <c r="C33" s="3">
        <v>585</v>
      </c>
      <c r="D33" s="3">
        <v>594</v>
      </c>
      <c r="F33">
        <v>456</v>
      </c>
      <c r="G33">
        <f t="shared" si="2"/>
        <v>5</v>
      </c>
      <c r="H33">
        <f t="shared" si="3"/>
        <v>451</v>
      </c>
      <c r="I33">
        <f t="shared" si="4"/>
        <v>3.1569999999999996</v>
      </c>
      <c r="J33" s="29">
        <f t="shared" si="5"/>
        <v>447.84300000000002</v>
      </c>
      <c r="K33" s="29">
        <v>2</v>
      </c>
      <c r="L33">
        <f t="shared" si="6"/>
        <v>445.5</v>
      </c>
      <c r="M33" s="29">
        <v>594</v>
      </c>
      <c r="N33">
        <f t="shared" si="7"/>
        <v>10.5</v>
      </c>
      <c r="O33">
        <f t="shared" si="8"/>
        <v>5</v>
      </c>
      <c r="P33">
        <f t="shared" si="9"/>
        <v>3.1569999999999996</v>
      </c>
      <c r="Q33">
        <f t="shared" si="10"/>
        <v>2.3430000000000004</v>
      </c>
      <c r="R33" s="71">
        <v>2</v>
      </c>
    </row>
    <row r="34" spans="1:18" x14ac:dyDescent="0.35">
      <c r="A34" s="69" t="s">
        <v>15</v>
      </c>
      <c r="B34" s="3">
        <v>1312</v>
      </c>
      <c r="C34" s="3">
        <v>1325</v>
      </c>
      <c r="D34" s="3">
        <v>1339</v>
      </c>
      <c r="F34">
        <v>1028</v>
      </c>
      <c r="G34">
        <f t="shared" si="2"/>
        <v>11.271929824561404</v>
      </c>
      <c r="H34">
        <f t="shared" si="3"/>
        <v>1016.7280701754386</v>
      </c>
      <c r="I34">
        <f t="shared" si="4"/>
        <v>7.117096491228069</v>
      </c>
      <c r="J34" s="29">
        <f t="shared" si="5"/>
        <v>1009.6109736842105</v>
      </c>
      <c r="K34" s="29">
        <v>30</v>
      </c>
      <c r="L34">
        <f t="shared" si="6"/>
        <v>985.5</v>
      </c>
      <c r="M34" s="29">
        <v>1314</v>
      </c>
      <c r="N34">
        <f t="shared" si="7"/>
        <v>42.5</v>
      </c>
      <c r="O34">
        <f t="shared" si="8"/>
        <v>11.271929824561404</v>
      </c>
      <c r="P34">
        <f t="shared" si="9"/>
        <v>7.117096491228069</v>
      </c>
      <c r="Q34">
        <f t="shared" si="10"/>
        <v>24.110973684210528</v>
      </c>
      <c r="R34" s="71">
        <v>24</v>
      </c>
    </row>
    <row r="35" spans="1:18" x14ac:dyDescent="0.35">
      <c r="A35" s="69" t="s">
        <v>18</v>
      </c>
      <c r="B35" s="3">
        <v>2404</v>
      </c>
      <c r="C35" s="3">
        <v>2420</v>
      </c>
      <c r="D35" s="3">
        <v>2454</v>
      </c>
      <c r="F35" s="3">
        <v>1884</v>
      </c>
      <c r="G35">
        <f t="shared" si="2"/>
        <v>20.657894736842106</v>
      </c>
      <c r="H35">
        <f t="shared" si="3"/>
        <v>1863.3421052631579</v>
      </c>
      <c r="I35">
        <f t="shared" si="4"/>
        <v>13.043394736842105</v>
      </c>
      <c r="J35" s="29">
        <f t="shared" si="5"/>
        <v>1850.2987105263157</v>
      </c>
      <c r="K35" s="29">
        <v>45</v>
      </c>
      <c r="L35">
        <f t="shared" si="6"/>
        <v>1803</v>
      </c>
      <c r="M35" s="29">
        <v>2404</v>
      </c>
      <c r="N35">
        <f t="shared" si="7"/>
        <v>81</v>
      </c>
      <c r="O35">
        <f t="shared" si="8"/>
        <v>20.657894736842106</v>
      </c>
      <c r="P35">
        <f t="shared" si="9"/>
        <v>13.043394736842105</v>
      </c>
      <c r="Q35">
        <f t="shared" si="10"/>
        <v>47.298710526315787</v>
      </c>
      <c r="R35" s="71">
        <v>47</v>
      </c>
    </row>
    <row r="36" spans="1:18" x14ac:dyDescent="0.35">
      <c r="A36" s="69" t="s">
        <v>19</v>
      </c>
      <c r="B36" s="3">
        <v>610</v>
      </c>
      <c r="C36" s="3">
        <v>615</v>
      </c>
      <c r="D36" s="3">
        <v>623</v>
      </c>
      <c r="F36" s="3">
        <v>478</v>
      </c>
      <c r="G36">
        <f t="shared" si="2"/>
        <v>5.2412280701754383</v>
      </c>
      <c r="H36">
        <f t="shared" si="3"/>
        <v>472.75877192982455</v>
      </c>
      <c r="I36">
        <f t="shared" si="4"/>
        <v>3.3093114035087714</v>
      </c>
      <c r="J36" s="29">
        <f t="shared" si="5"/>
        <v>469.44946052631576</v>
      </c>
      <c r="K36" s="29">
        <v>5</v>
      </c>
      <c r="L36">
        <f t="shared" si="6"/>
        <v>461.25</v>
      </c>
      <c r="M36" s="29">
        <v>615</v>
      </c>
      <c r="N36">
        <f t="shared" si="7"/>
        <v>16.75</v>
      </c>
      <c r="O36">
        <f t="shared" si="8"/>
        <v>5.2412280701754383</v>
      </c>
      <c r="P36">
        <f t="shared" si="9"/>
        <v>3.3093114035087714</v>
      </c>
      <c r="Q36">
        <f t="shared" si="10"/>
        <v>8.1994605263157894</v>
      </c>
      <c r="R36" s="71">
        <v>0</v>
      </c>
    </row>
    <row r="37" spans="1:18" x14ac:dyDescent="0.35">
      <c r="A37" s="69" t="s">
        <v>20</v>
      </c>
      <c r="B37" s="3">
        <v>446</v>
      </c>
      <c r="C37" s="3">
        <v>450</v>
      </c>
      <c r="D37" s="3">
        <v>456</v>
      </c>
      <c r="F37" s="3">
        <v>350</v>
      </c>
      <c r="G37">
        <f t="shared" si="2"/>
        <v>3.8377192982456143</v>
      </c>
      <c r="H37">
        <f t="shared" si="3"/>
        <v>346.16228070175441</v>
      </c>
      <c r="I37">
        <f t="shared" si="4"/>
        <v>2.4231359649122806</v>
      </c>
      <c r="J37" s="29">
        <f t="shared" si="5"/>
        <v>343.73914473684215</v>
      </c>
      <c r="K37" s="29">
        <v>1</v>
      </c>
      <c r="L37">
        <f t="shared" si="6"/>
        <v>342</v>
      </c>
      <c r="M37" s="29">
        <v>456</v>
      </c>
      <c r="N37">
        <f t="shared" si="7"/>
        <v>8</v>
      </c>
      <c r="O37">
        <f t="shared" si="8"/>
        <v>3.8377192982456143</v>
      </c>
      <c r="P37">
        <f t="shared" si="9"/>
        <v>2.4231359649122806</v>
      </c>
      <c r="Q37">
        <f t="shared" si="10"/>
        <v>1.7391447368421047</v>
      </c>
      <c r="R37" s="71">
        <v>0</v>
      </c>
    </row>
    <row r="38" spans="1:18" x14ac:dyDescent="0.35">
      <c r="B38">
        <f t="shared" ref="B38:C38" si="11">SUM(B27:B37)</f>
        <v>10170</v>
      </c>
      <c r="C38">
        <f t="shared" si="11"/>
        <v>10255</v>
      </c>
      <c r="D38">
        <f>SUM(D27:D37)</f>
        <v>10380</v>
      </c>
      <c r="E38" t="s">
        <v>116</v>
      </c>
    </row>
    <row r="40" spans="1:18" x14ac:dyDescent="0.35">
      <c r="F40" s="71"/>
      <c r="G40" s="71"/>
      <c r="H40" s="71"/>
      <c r="I40" s="72" t="s">
        <v>126</v>
      </c>
    </row>
    <row r="41" spans="1:18" x14ac:dyDescent="0.35">
      <c r="F41" s="71" t="s">
        <v>127</v>
      </c>
      <c r="G41" s="71"/>
      <c r="H41" s="71"/>
      <c r="I41" s="72"/>
    </row>
  </sheetData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Feuil2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Parent-Gros</dc:creator>
  <cp:lastModifiedBy>Caroline Parent-Gros</cp:lastModifiedBy>
  <cp:lastPrinted>2025-09-17T08:43:27Z</cp:lastPrinted>
  <dcterms:created xsi:type="dcterms:W3CDTF">2024-07-26T11:38:55Z</dcterms:created>
  <dcterms:modified xsi:type="dcterms:W3CDTF">2026-04-03T12:13:33Z</dcterms:modified>
</cp:coreProperties>
</file>