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202300"/>
  <mc:AlternateContent xmlns:mc="http://schemas.openxmlformats.org/markup-compatibility/2006">
    <mc:Choice Requires="x15">
      <x15ac:absPath xmlns:x15ac="http://schemas.microsoft.com/office/spreadsheetml/2010/11/ac" url="\\192.168.150.150\public\02 WW6\CARO\CARO BUREAU\ADMINISTRATIF\AFG\MISES EN BT\"/>
    </mc:Choice>
  </mc:AlternateContent>
  <xr:revisionPtr revIDLastSave="0" documentId="13_ncr:1_{8EF5914F-2E0F-40F3-8EB4-EB6A701D218D}" xr6:coauthVersionLast="47" xr6:coauthVersionMax="47" xr10:uidLastSave="{00000000-0000-0000-0000-000000000000}"/>
  <bookViews>
    <workbookView xWindow="38290" yWindow="-110" windowWidth="38620" windowHeight="21100" activeTab="1" xr2:uid="{F5F19158-726B-4B2B-8332-CED03C1D5589}"/>
  </bookViews>
  <sheets>
    <sheet name="domaine" sheetId="1" r:id="rId1"/>
    <sheet name="recap " sheetId="2" r:id="rId2"/>
    <sheet name="negoce" sheetId="3" r:id="rId3"/>
  </sheets>
  <calcPr calcId="191029" refMode="R1C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A53" i="2" l="1"/>
  <c r="AA52" i="2"/>
  <c r="AA35" i="2"/>
  <c r="AA36" i="2"/>
  <c r="AA37" i="2"/>
  <c r="AA38" i="2"/>
  <c r="AA39" i="2"/>
  <c r="AA40" i="2"/>
  <c r="AA41" i="2"/>
  <c r="AA42" i="2"/>
  <c r="AA43" i="2"/>
  <c r="AA44" i="2"/>
  <c r="AA45" i="2"/>
  <c r="AA46" i="2"/>
  <c r="AA47" i="2"/>
  <c r="AA48" i="2"/>
  <c r="AA49" i="2"/>
  <c r="AA50" i="2"/>
  <c r="AA51" i="2"/>
  <c r="AA34" i="2"/>
  <c r="I34" i="2"/>
  <c r="I35" i="2"/>
  <c r="I36" i="2"/>
  <c r="I37" i="2"/>
  <c r="I38" i="2"/>
  <c r="I39" i="2"/>
  <c r="I40" i="2"/>
  <c r="I44" i="2"/>
  <c r="I45" i="2"/>
  <c r="I46" i="2"/>
  <c r="I47" i="2"/>
  <c r="I48" i="2"/>
  <c r="I49" i="2"/>
  <c r="I50" i="2"/>
  <c r="I51" i="2"/>
  <c r="I43" i="2"/>
  <c r="M57" i="2" l="1"/>
  <c r="R35" i="2" s="1"/>
  <c r="Y35" i="2" s="1"/>
  <c r="M58" i="2"/>
  <c r="R36" i="2" s="1"/>
  <c r="Y36" i="2" s="1"/>
  <c r="M59" i="2"/>
  <c r="R37" i="2" s="1"/>
  <c r="Y37" i="2" s="1"/>
  <c r="M60" i="2"/>
  <c r="R38" i="2" s="1"/>
  <c r="Y38" i="2" s="1"/>
  <c r="M61" i="2"/>
  <c r="R39" i="2" s="1"/>
  <c r="Y39" i="2" s="1"/>
  <c r="M62" i="2"/>
  <c r="R40" i="2" s="1"/>
  <c r="M63" i="2"/>
  <c r="R41" i="2" s="1"/>
  <c r="M64" i="2"/>
  <c r="R42" i="2" s="1"/>
  <c r="M65" i="2"/>
  <c r="R43" i="2" s="1"/>
  <c r="Y43" i="2" s="1"/>
  <c r="M66" i="2"/>
  <c r="R44" i="2" s="1"/>
  <c r="Y44" i="2" s="1"/>
  <c r="M67" i="2"/>
  <c r="R45" i="2" s="1"/>
  <c r="M68" i="2"/>
  <c r="R46" i="2" s="1"/>
  <c r="Y46" i="2" s="1"/>
  <c r="M69" i="2"/>
  <c r="R47" i="2" s="1"/>
  <c r="Y47" i="2" s="1"/>
  <c r="M70" i="2"/>
  <c r="R48" i="2" s="1"/>
  <c r="Y48" i="2" s="1"/>
  <c r="M71" i="2"/>
  <c r="R49" i="2" s="1"/>
  <c r="Y49" i="2" s="1"/>
  <c r="M72" i="2"/>
  <c r="R50" i="2" s="1"/>
  <c r="Y50" i="2" s="1"/>
  <c r="M73" i="2"/>
  <c r="R51" i="2" s="1"/>
  <c r="Y51" i="2" s="1"/>
  <c r="M56" i="2"/>
  <c r="R34" i="2" s="1"/>
  <c r="Y34" i="2" s="1"/>
  <c r="F35" i="2"/>
  <c r="G35" i="2" s="1"/>
  <c r="F37" i="2"/>
  <c r="G37" i="2" s="1"/>
  <c r="F38" i="2"/>
  <c r="G38" i="2" s="1"/>
  <c r="F39" i="2"/>
  <c r="G39" i="2" s="1"/>
  <c r="F46" i="2"/>
  <c r="G46" i="2" s="1"/>
  <c r="F47" i="2"/>
  <c r="G47" i="2" s="1"/>
  <c r="F48" i="2"/>
  <c r="G48" i="2" s="1"/>
  <c r="F49" i="2"/>
  <c r="G49" i="2" s="1"/>
  <c r="F50" i="2"/>
  <c r="G50" i="2" s="1"/>
  <c r="F51" i="2"/>
  <c r="G51" i="2" s="1"/>
  <c r="E35" i="2"/>
  <c r="E37" i="2"/>
  <c r="E38" i="2"/>
  <c r="E39" i="2"/>
  <c r="E42" i="2"/>
  <c r="E43" i="2"/>
  <c r="F43" i="2" s="1"/>
  <c r="G43" i="2" s="1"/>
  <c r="E44" i="2"/>
  <c r="F44" i="2" s="1"/>
  <c r="G44" i="2" s="1"/>
  <c r="E45" i="2"/>
  <c r="F45" i="2" s="1"/>
  <c r="G45" i="2" s="1"/>
  <c r="E46" i="2"/>
  <c r="E47" i="2"/>
  <c r="E48" i="2"/>
  <c r="E49" i="2"/>
  <c r="E50" i="2"/>
  <c r="E51" i="2"/>
  <c r="E34" i="2"/>
  <c r="F34" i="2" s="1"/>
  <c r="G34" i="2" s="1"/>
  <c r="D42" i="2"/>
  <c r="D41" i="2"/>
  <c r="D40" i="2"/>
  <c r="E40" i="2" s="1"/>
  <c r="D36" i="2"/>
  <c r="E36" i="2" s="1"/>
  <c r="D13" i="1"/>
  <c r="E27" i="1"/>
  <c r="E32" i="1"/>
  <c r="E29" i="1"/>
  <c r="Y45" i="2" l="1"/>
  <c r="Y40" i="2"/>
  <c r="F42" i="2"/>
  <c r="G42" i="2" s="1"/>
  <c r="F40" i="2"/>
  <c r="G40" i="2" s="1"/>
  <c r="F36" i="2"/>
  <c r="G36" i="2" s="1"/>
  <c r="E41" i="2"/>
  <c r="F41" i="2" s="1"/>
  <c r="G41" i="2" s="1"/>
  <c r="F7" i="2"/>
  <c r="F8" i="2"/>
  <c r="F9" i="2"/>
  <c r="F10" i="2"/>
  <c r="F11" i="2"/>
  <c r="F12" i="2"/>
  <c r="F13" i="2"/>
  <c r="F14" i="2"/>
  <c r="F15" i="2"/>
  <c r="F16" i="2"/>
  <c r="F17" i="2"/>
  <c r="F18" i="2"/>
  <c r="F19" i="2"/>
  <c r="F21" i="2"/>
  <c r="F22" i="2"/>
  <c r="F23" i="2"/>
  <c r="F6" i="2"/>
  <c r="E13" i="1"/>
  <c r="V13" i="1" s="1"/>
  <c r="D14" i="1"/>
  <c r="C29" i="1"/>
  <c r="C27" i="1"/>
  <c r="R21" i="1"/>
  <c r="V27" i="1"/>
  <c r="U26" i="1"/>
  <c r="U8" i="1"/>
  <c r="U9" i="1"/>
  <c r="U10" i="1"/>
  <c r="U11" i="1"/>
  <c r="U12" i="1"/>
  <c r="U13" i="1"/>
  <c r="U14" i="1"/>
  <c r="U15" i="1"/>
  <c r="U16" i="1"/>
  <c r="U17" i="1"/>
  <c r="U18" i="1"/>
  <c r="U19" i="1"/>
  <c r="U20" i="1"/>
  <c r="U21" i="1"/>
  <c r="U22" i="1"/>
  <c r="U23" i="1"/>
  <c r="U24" i="1"/>
  <c r="U7" i="1"/>
  <c r="W25" i="1"/>
  <c r="T8" i="1"/>
  <c r="T9" i="1"/>
  <c r="T10" i="1"/>
  <c r="T11" i="1"/>
  <c r="T12" i="1"/>
  <c r="T13" i="1"/>
  <c r="T14" i="1"/>
  <c r="T15" i="1"/>
  <c r="T16" i="1"/>
  <c r="T17" i="1"/>
  <c r="T18" i="1"/>
  <c r="T19" i="1"/>
  <c r="T20" i="1"/>
  <c r="T21" i="1"/>
  <c r="T22" i="1"/>
  <c r="T23" i="1"/>
  <c r="T24" i="1"/>
  <c r="T7" i="1"/>
  <c r="J25" i="1"/>
  <c r="I25" i="1"/>
  <c r="E16" i="1"/>
  <c r="V16" i="1" s="1"/>
  <c r="E17" i="1"/>
  <c r="V17" i="1" s="1"/>
  <c r="E18" i="1"/>
  <c r="K18" i="1" s="1"/>
  <c r="E19" i="1"/>
  <c r="V19" i="1" s="1"/>
  <c r="E20" i="1"/>
  <c r="K20" i="1" s="1"/>
  <c r="E21" i="1"/>
  <c r="V21" i="1" s="1"/>
  <c r="E22" i="1"/>
  <c r="K22" i="1" s="1"/>
  <c r="E23" i="1"/>
  <c r="V23" i="1" s="1"/>
  <c r="E24" i="1"/>
  <c r="V24" i="1" s="1"/>
  <c r="E8" i="1"/>
  <c r="K8" i="1" s="1"/>
  <c r="E10" i="1"/>
  <c r="K10" i="1" s="1"/>
  <c r="E11" i="1"/>
  <c r="V11" i="1" s="1"/>
  <c r="E12" i="1"/>
  <c r="V12" i="1" s="1"/>
  <c r="C25" i="1"/>
  <c r="H106" i="1"/>
  <c r="G106" i="1"/>
  <c r="I94" i="1"/>
  <c r="I101" i="1"/>
  <c r="I102" i="1"/>
  <c r="F89" i="1"/>
  <c r="I89" i="1" s="1"/>
  <c r="F90" i="1"/>
  <c r="I90" i="1" s="1"/>
  <c r="F91" i="1"/>
  <c r="I91" i="1" s="1"/>
  <c r="F92" i="1"/>
  <c r="I92" i="1" s="1"/>
  <c r="F93" i="1"/>
  <c r="I93" i="1" s="1"/>
  <c r="F94" i="1"/>
  <c r="F95" i="1"/>
  <c r="I95" i="1" s="1"/>
  <c r="F96" i="1"/>
  <c r="I96" i="1" s="1"/>
  <c r="F97" i="1"/>
  <c r="I97" i="1" s="1"/>
  <c r="F98" i="1"/>
  <c r="I98" i="1" s="1"/>
  <c r="F99" i="1"/>
  <c r="I99" i="1" s="1"/>
  <c r="F100" i="1"/>
  <c r="I100" i="1" s="1"/>
  <c r="F103" i="1"/>
  <c r="I103" i="1" s="1"/>
  <c r="F104" i="1"/>
  <c r="I104" i="1" s="1"/>
  <c r="F105" i="1"/>
  <c r="I105" i="1" s="1"/>
  <c r="F88" i="1"/>
  <c r="I88" i="1" s="1"/>
  <c r="C89" i="1"/>
  <c r="C90" i="1"/>
  <c r="C91" i="1"/>
  <c r="C92" i="1"/>
  <c r="C93" i="1"/>
  <c r="C94" i="1"/>
  <c r="C95" i="1"/>
  <c r="C96" i="1"/>
  <c r="C97" i="1"/>
  <c r="C98" i="1"/>
  <c r="C99" i="1"/>
  <c r="C100" i="1"/>
  <c r="C101" i="1"/>
  <c r="C102" i="1"/>
  <c r="C103" i="1"/>
  <c r="C104" i="1"/>
  <c r="C105" i="1"/>
  <c r="C88" i="1"/>
  <c r="G48" i="1"/>
  <c r="K48" i="1" s="1"/>
  <c r="U57" i="1"/>
  <c r="U54" i="1"/>
  <c r="U52" i="1"/>
  <c r="U51" i="1"/>
  <c r="U50" i="1"/>
  <c r="U49" i="1"/>
  <c r="U47" i="1"/>
  <c r="U46" i="1"/>
  <c r="U40" i="1"/>
  <c r="U39" i="1"/>
  <c r="E72" i="1"/>
  <c r="N72" i="1" s="1"/>
  <c r="E73" i="1"/>
  <c r="N73" i="1" s="1"/>
  <c r="E74" i="1"/>
  <c r="N74" i="1" s="1"/>
  <c r="E75" i="1"/>
  <c r="N75" i="1" s="1"/>
  <c r="E76" i="1"/>
  <c r="E77" i="1"/>
  <c r="N77" i="1" s="1"/>
  <c r="E78" i="1"/>
  <c r="N78" i="1" s="1"/>
  <c r="E71" i="1"/>
  <c r="N71" i="1" s="1"/>
  <c r="U41" i="1"/>
  <c r="U42" i="1"/>
  <c r="U43" i="1"/>
  <c r="U44" i="1"/>
  <c r="U45" i="1"/>
  <c r="U53" i="1"/>
  <c r="U55" i="1"/>
  <c r="U56" i="1"/>
  <c r="N76" i="1"/>
  <c r="F57" i="1"/>
  <c r="G57" i="1" s="1"/>
  <c r="K57" i="1" s="1"/>
  <c r="M57" i="1" s="1"/>
  <c r="F56" i="1"/>
  <c r="G56" i="1" s="1"/>
  <c r="K56" i="1" s="1"/>
  <c r="M56" i="1" s="1"/>
  <c r="F55" i="1"/>
  <c r="G55" i="1" s="1"/>
  <c r="K55" i="1" s="1"/>
  <c r="M55" i="1" s="1"/>
  <c r="F54" i="1"/>
  <c r="G54" i="1" s="1"/>
  <c r="K54" i="1" s="1"/>
  <c r="M54" i="1" s="1"/>
  <c r="F53" i="1"/>
  <c r="G53" i="1" s="1"/>
  <c r="K53" i="1" s="1"/>
  <c r="M53" i="1" s="1"/>
  <c r="F52" i="1"/>
  <c r="G52" i="1" s="1"/>
  <c r="K52" i="1" s="1"/>
  <c r="M52" i="1" s="1"/>
  <c r="F51" i="1"/>
  <c r="G51" i="1" s="1"/>
  <c r="K51" i="1" s="1"/>
  <c r="M51" i="1" s="1"/>
  <c r="F50" i="1"/>
  <c r="G50" i="1" s="1"/>
  <c r="K50" i="1" s="1"/>
  <c r="M50" i="1" s="1"/>
  <c r="F49" i="1"/>
  <c r="G49" i="1" s="1"/>
  <c r="K49" i="1" s="1"/>
  <c r="M49" i="1" s="1"/>
  <c r="F47" i="1"/>
  <c r="G47" i="1" s="1"/>
  <c r="K47" i="1" s="1"/>
  <c r="M47" i="1" s="1"/>
  <c r="F46" i="1"/>
  <c r="G46" i="1" s="1"/>
  <c r="K46" i="1" s="1"/>
  <c r="M46" i="1" s="1"/>
  <c r="F45" i="1"/>
  <c r="G45" i="1" s="1"/>
  <c r="K45" i="1" s="1"/>
  <c r="M45" i="1" s="1"/>
  <c r="F44" i="1"/>
  <c r="G44" i="1" s="1"/>
  <c r="K44" i="1" s="1"/>
  <c r="M44" i="1" s="1"/>
  <c r="F43" i="1"/>
  <c r="G43" i="1" s="1"/>
  <c r="K43" i="1" s="1"/>
  <c r="M43" i="1" s="1"/>
  <c r="F42" i="1"/>
  <c r="G42" i="1" s="1"/>
  <c r="K42" i="1" s="1"/>
  <c r="M42" i="1" s="1"/>
  <c r="F41" i="1"/>
  <c r="G41" i="1" s="1"/>
  <c r="K41" i="1" s="1"/>
  <c r="M41" i="1" s="1"/>
  <c r="F40" i="1"/>
  <c r="G40" i="1" s="1"/>
  <c r="K40" i="1" s="1"/>
  <c r="M40" i="1" s="1"/>
  <c r="F39" i="1"/>
  <c r="G39" i="1" s="1"/>
  <c r="K39" i="1" s="1"/>
  <c r="M39" i="1" s="1"/>
  <c r="D80" i="1"/>
  <c r="C82" i="1" s="1"/>
  <c r="D32" i="1"/>
  <c r="D29" i="1"/>
  <c r="C61" i="1" s="1"/>
  <c r="K61" i="1" s="1"/>
  <c r="D27" i="1"/>
  <c r="C62" i="1" s="1"/>
  <c r="E7" i="1"/>
  <c r="V7" i="1" s="1"/>
  <c r="I41" i="2" l="1"/>
  <c r="Y41" i="2" s="1"/>
  <c r="I42" i="2"/>
  <c r="Y42" i="2" s="1"/>
  <c r="K17" i="1"/>
  <c r="K24" i="1"/>
  <c r="K16" i="1"/>
  <c r="K13" i="1"/>
  <c r="V22" i="1"/>
  <c r="V10" i="1"/>
  <c r="T25" i="1"/>
  <c r="K19" i="1"/>
  <c r="K12" i="1"/>
  <c r="K7" i="1"/>
  <c r="K11" i="1"/>
  <c r="V20" i="1"/>
  <c r="V8" i="1"/>
  <c r="K23" i="1"/>
  <c r="V18" i="1"/>
  <c r="U25" i="1"/>
  <c r="U28" i="1" s="1"/>
  <c r="I48" i="1"/>
  <c r="J48" i="1" s="1"/>
  <c r="E14" i="1"/>
  <c r="M58" i="1"/>
  <c r="K58" i="1"/>
  <c r="H49" i="1"/>
  <c r="I49" i="1" s="1"/>
  <c r="J49" i="1" s="1"/>
  <c r="H43" i="1"/>
  <c r="I43" i="1" s="1"/>
  <c r="J43" i="1" s="1"/>
  <c r="H56" i="1"/>
  <c r="I56" i="1" s="1"/>
  <c r="J56" i="1" s="1"/>
  <c r="H42" i="1"/>
  <c r="I42" i="1" s="1"/>
  <c r="J42" i="1" s="1"/>
  <c r="H39" i="1"/>
  <c r="I39" i="1" s="1"/>
  <c r="J39" i="1" s="1"/>
  <c r="H55" i="1"/>
  <c r="I55" i="1" s="1"/>
  <c r="J55" i="1" s="1"/>
  <c r="H50" i="1"/>
  <c r="I50" i="1" s="1"/>
  <c r="J50" i="1" s="1"/>
  <c r="H45" i="1"/>
  <c r="I45" i="1" s="1"/>
  <c r="J45" i="1" s="1"/>
  <c r="H57" i="1"/>
  <c r="I57" i="1" s="1"/>
  <c r="J57" i="1" s="1"/>
  <c r="H44" i="1"/>
  <c r="I44" i="1" s="1"/>
  <c r="J44" i="1" s="1"/>
  <c r="H41" i="1"/>
  <c r="I41" i="1" s="1"/>
  <c r="J41" i="1" s="1"/>
  <c r="H53" i="1"/>
  <c r="I53" i="1" s="1"/>
  <c r="J53" i="1" s="1"/>
  <c r="H40" i="1"/>
  <c r="I40" i="1" s="1"/>
  <c r="J40" i="1" s="1"/>
  <c r="H54" i="1"/>
  <c r="I54" i="1" s="1"/>
  <c r="J54" i="1" s="1"/>
  <c r="H52" i="1"/>
  <c r="I52" i="1" s="1"/>
  <c r="J52" i="1" s="1"/>
  <c r="H51" i="1"/>
  <c r="I51" i="1" s="1"/>
  <c r="J51" i="1" s="1"/>
  <c r="F61" i="1"/>
  <c r="F62" i="1"/>
  <c r="H47" i="1"/>
  <c r="I47" i="1" s="1"/>
  <c r="J47" i="1" s="1"/>
  <c r="F63" i="1"/>
  <c r="H46" i="1"/>
  <c r="I46" i="1" s="1"/>
  <c r="J46" i="1" s="1"/>
  <c r="C63" i="1"/>
  <c r="D15" i="1"/>
  <c r="E15" i="1" s="1"/>
  <c r="D79" i="1"/>
  <c r="E79" i="1" s="1"/>
  <c r="N79" i="1" s="1"/>
  <c r="K14" i="1" l="1"/>
  <c r="V14" i="1"/>
  <c r="K15" i="1"/>
  <c r="V15" i="1"/>
  <c r="D9" i="1"/>
  <c r="E9" i="1" l="1"/>
  <c r="E25" i="1" s="1"/>
  <c r="K9" i="1" l="1"/>
  <c r="V9" i="1"/>
  <c r="V25" i="1" s="1"/>
  <c r="V28" i="1" s="1"/>
</calcChain>
</file>

<file path=xl/sharedStrings.xml><?xml version="1.0" encoding="utf-8"?>
<sst xmlns="http://schemas.openxmlformats.org/spreadsheetml/2006/main" count="330" uniqueCount="158">
  <si>
    <t>CALCUL DES USURES DOMAINE</t>
  </si>
  <si>
    <t>Tirage en Bt</t>
  </si>
  <si>
    <t>Beaune 1er cru les montrevenots</t>
  </si>
  <si>
    <t>Beaune 1er cru les boucherottes</t>
  </si>
  <si>
    <t>Bourgogne Pinot noir</t>
  </si>
  <si>
    <t>usure</t>
  </si>
  <si>
    <t>Chambolle musiny</t>
  </si>
  <si>
    <t>Clos Vougeot</t>
  </si>
  <si>
    <t>Echezeaux</t>
  </si>
  <si>
    <t>Bourgogne Hautes Cotes de Nuits rouge</t>
  </si>
  <si>
    <t>Bourgogne Hautes Cotes de Nuits blancs</t>
  </si>
  <si>
    <t>Moulin a vent</t>
  </si>
  <si>
    <t>Pommard 1er cru les Arvelets</t>
  </si>
  <si>
    <t>Pommard 1er cru les chanlins</t>
  </si>
  <si>
    <t>Pommard 1er cru les pezerolles</t>
  </si>
  <si>
    <t>Richebourg</t>
  </si>
  <si>
    <t>Savigny 1er cru le clos des Guettes</t>
  </si>
  <si>
    <t>Signature VSIG</t>
  </si>
  <si>
    <t>Vosne Romanée aux reas</t>
  </si>
  <si>
    <t>Vosne romanée maizieres</t>
  </si>
  <si>
    <t>Vosne romanée les Chalandins</t>
  </si>
  <si>
    <t>BG</t>
  </si>
  <si>
    <t>HN</t>
  </si>
  <si>
    <t>Total gamay</t>
  </si>
  <si>
    <t xml:space="preserve"> avant usure</t>
  </si>
  <si>
    <t>En Litres</t>
  </si>
  <si>
    <t>Recolte nette des ventes</t>
  </si>
  <si>
    <t>Avant usure</t>
  </si>
  <si>
    <t>Quantités en Litres</t>
  </si>
  <si>
    <t xml:space="preserve">Savigny les beaune </t>
  </si>
  <si>
    <t>Monthelie</t>
  </si>
  <si>
    <t>Gevrey Chambertin</t>
  </si>
  <si>
    <t>Gevrey 1er cru combe au moine</t>
  </si>
  <si>
    <t>Aloxe corton 1er cru les Valozieres</t>
  </si>
  <si>
    <t>Volnay 1er cru les brouillards</t>
  </si>
  <si>
    <t>Chambolle Musigny1er cru Aux Echanges</t>
  </si>
  <si>
    <t>Corton Grand cu rouge</t>
  </si>
  <si>
    <t>Bourgogne</t>
  </si>
  <si>
    <t>Total en litres</t>
  </si>
  <si>
    <t>Usure</t>
  </si>
  <si>
    <t>litres</t>
  </si>
  <si>
    <t>A prendre sur BG</t>
  </si>
  <si>
    <t>Reste a embouteiller</t>
  </si>
  <si>
    <t>MOUL</t>
  </si>
  <si>
    <t>HNB</t>
  </si>
  <si>
    <t>Ote 12% pour les GC</t>
  </si>
  <si>
    <t>Objectif</t>
  </si>
  <si>
    <t>en litres</t>
  </si>
  <si>
    <t xml:space="preserve">Ote 3% de pertes </t>
  </si>
  <si>
    <t>Mise</t>
  </si>
  <si>
    <t>usure dec</t>
  </si>
  <si>
    <t>usure totale</t>
  </si>
  <si>
    <t>reste pour mise</t>
  </si>
  <si>
    <t>En BT</t>
  </si>
  <si>
    <t>En BT ou eq bt</t>
  </si>
  <si>
    <t>PROJECTION</t>
  </si>
  <si>
    <t>je decide</t>
  </si>
  <si>
    <t>En %</t>
  </si>
  <si>
    <t>Total blanc</t>
  </si>
  <si>
    <t>toatl rouge</t>
  </si>
  <si>
    <t>Pour juillet je fais 228l et on ajustera en decembre</t>
  </si>
  <si>
    <t>Lie prévue</t>
  </si>
  <si>
    <t>3l/fut</t>
  </si>
  <si>
    <t>reste apres usure</t>
  </si>
  <si>
    <t>A minima</t>
  </si>
  <si>
    <t>ATTENTION COMMANDE DE 600 BOUCHONS NEUTRES FLORA</t>
  </si>
  <si>
    <t>ATTENTION COMMANDE DE 1800 BOUCHONS NEUTRES POUR FLORA</t>
  </si>
  <si>
    <t xml:space="preserve">Resterait </t>
  </si>
  <si>
    <t>Solde</t>
  </si>
  <si>
    <t>GRAND FORMATS</t>
  </si>
  <si>
    <t>X</t>
  </si>
  <si>
    <t>Je prends encore 3L de lie</t>
  </si>
  <si>
    <t>ALLOUES AU 19/11/2024</t>
  </si>
  <si>
    <t>recolte 2024</t>
  </si>
  <si>
    <t>usure juil 25</t>
  </si>
  <si>
    <t>Nb de Bt</t>
  </si>
  <si>
    <t>estimation</t>
  </si>
  <si>
    <t>A minma</t>
  </si>
  <si>
    <t>A maxima</t>
  </si>
  <si>
    <t>Recapitulatif de 2024</t>
  </si>
  <si>
    <t>Pour 2024</t>
  </si>
  <si>
    <t>CALCUL DES USURES NEGOCE model pour 2025</t>
  </si>
  <si>
    <t>prix</t>
  </si>
  <si>
    <t>Total</t>
  </si>
  <si>
    <t>%</t>
  </si>
  <si>
    <t>on a pris usure de 114l au lieu de 220 car on utilise moins de fts et on a mis la cermaique pour la 1ere année</t>
  </si>
  <si>
    <t>Total blancs domaine à 2%</t>
  </si>
  <si>
    <t>Moulin a vent REALITE VU MP</t>
  </si>
  <si>
    <t>Total rouge domaine 3%</t>
  </si>
  <si>
    <t>ON fait toute usure des rouges sur le HN</t>
  </si>
  <si>
    <t>MAXI</t>
  </si>
  <si>
    <t>EN litre</t>
  </si>
  <si>
    <t xml:space="preserve">apres lie </t>
  </si>
  <si>
    <t>en bt</t>
  </si>
  <si>
    <t>en bt arrondi</t>
  </si>
  <si>
    <t>alloués au 4/11</t>
  </si>
  <si>
    <t>reste</t>
  </si>
  <si>
    <t>PALOMAR</t>
  </si>
  <si>
    <t>BANVILLE</t>
  </si>
  <si>
    <t>VICTORY</t>
  </si>
  <si>
    <t>RESTE</t>
  </si>
  <si>
    <t xml:space="preserve">Pour juillet 26 je propose </t>
  </si>
  <si>
    <t>a VOIR AVEC MP</t>
  </si>
  <si>
    <t>SIGN</t>
  </si>
  <si>
    <t>PR HN</t>
  </si>
  <si>
    <t>dont 300 Sign</t>
  </si>
  <si>
    <t>USURE</t>
  </si>
  <si>
    <t>PAR RAPPORT A 2023</t>
  </si>
  <si>
    <t>VOLUMES EN BT</t>
  </si>
  <si>
    <t>CA</t>
  </si>
  <si>
    <t>Prix SUR BASE EX</t>
  </si>
  <si>
    <t>Chambolle musigny</t>
  </si>
  <si>
    <t>Richebourg 2016</t>
  </si>
  <si>
    <t>Richebourg 2017</t>
  </si>
  <si>
    <t>2025 PRO FINAL</t>
  </si>
  <si>
    <t>2025 USA GB</t>
  </si>
  <si>
    <t xml:space="preserve">     </t>
  </si>
  <si>
    <t>recolte2025</t>
  </si>
  <si>
    <t>Apres usure</t>
  </si>
  <si>
    <t>%  / 24</t>
  </si>
  <si>
    <t>%  / 23</t>
  </si>
  <si>
    <t>Usure 1.5%</t>
  </si>
  <si>
    <t>152 hn</t>
  </si>
  <si>
    <t>Lie</t>
  </si>
  <si>
    <t>Apres lie</t>
  </si>
  <si>
    <t>alloc au 15 04 2026</t>
  </si>
  <si>
    <t>solde</t>
  </si>
  <si>
    <t>Espagne</t>
  </si>
  <si>
    <t>bresil</t>
  </si>
  <si>
    <t>uruguay</t>
  </si>
  <si>
    <t>pion chine</t>
  </si>
  <si>
    <t>clos 9</t>
  </si>
  <si>
    <t>millesime cp</t>
  </si>
  <si>
    <t>noble wine</t>
  </si>
  <si>
    <t>enotecca pinchiorri</t>
  </si>
  <si>
    <t>cellier gouv</t>
  </si>
  <si>
    <t>carribean</t>
  </si>
  <si>
    <t>cave terroir</t>
  </si>
  <si>
    <t>AVEC NEGOCE</t>
  </si>
  <si>
    <t>USA</t>
  </si>
  <si>
    <t>INTEGRITY</t>
  </si>
  <si>
    <t>CARDEL</t>
  </si>
  <si>
    <t>FALTS</t>
  </si>
  <si>
    <t>PALOMAR CO</t>
  </si>
  <si>
    <t>VIN SAUVAGE AF</t>
  </si>
  <si>
    <t>VIN SAUVAGE CP</t>
  </si>
  <si>
    <t>MS WALKER</t>
  </si>
  <si>
    <t>PREMIER</t>
  </si>
  <si>
    <t>LOUISIANE</t>
  </si>
  <si>
    <t>TOTAL</t>
  </si>
  <si>
    <t>SI TTB SG</t>
  </si>
  <si>
    <t xml:space="preserve">   </t>
  </si>
  <si>
    <t>NEGOCE</t>
  </si>
  <si>
    <t>PROPOSER P1C EN 23</t>
  </si>
  <si>
    <t>MEURSAULT</t>
  </si>
  <si>
    <t xml:space="preserve">  </t>
  </si>
  <si>
    <t xml:space="preserve">prix </t>
  </si>
  <si>
    <t>ex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</si>
</sst>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Aptos Narrow"/>
      <family val="2"/>
      <scheme val="minor"/>
    </font>
    <font>
      <sz val="11"/>
      <color rgb="FFFF0000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rgb="FF0070C0"/>
      <name val="Aptos Narrow"/>
      <family val="2"/>
      <scheme val="minor"/>
    </font>
    <font>
      <b/>
      <sz val="11"/>
      <color rgb="FFFF0000"/>
      <name val="Aptos Narrow"/>
      <family val="2"/>
      <scheme val="minor"/>
    </font>
    <font>
      <i/>
      <sz val="11"/>
      <color theme="1"/>
      <name val="Aptos Narrow"/>
      <family val="2"/>
      <scheme val="minor"/>
    </font>
    <font>
      <sz val="1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8"/>
      <name val="Aptos Narrow"/>
      <family val="2"/>
      <scheme val="minor"/>
    </font>
    <font>
      <sz val="11"/>
      <color theme="5"/>
      <name val="Aptos Narrow"/>
      <family val="2"/>
      <scheme val="minor"/>
    </font>
    <font>
      <b/>
      <sz val="11"/>
      <color theme="5"/>
      <name val="Aptos Narrow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59999389629810485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9" fontId="7" fillId="0" borderId="0" applyFont="0" applyFill="0" applyBorder="0" applyAlignment="0" applyProtection="0"/>
  </cellStyleXfs>
  <cellXfs count="89">
    <xf numFmtId="0" fontId="0" fillId="0" borderId="0" xfId="0"/>
    <xf numFmtId="0" fontId="3" fillId="0" borderId="0" xfId="0" applyFont="1" applyAlignment="1">
      <alignment horizontal="center"/>
    </xf>
    <xf numFmtId="1" fontId="0" fillId="0" borderId="0" xfId="0" applyNumberFormat="1"/>
    <xf numFmtId="0" fontId="0" fillId="0" borderId="1" xfId="0" applyBorder="1"/>
    <xf numFmtId="1" fontId="0" fillId="0" borderId="1" xfId="0" applyNumberFormat="1" applyBorder="1"/>
    <xf numFmtId="0" fontId="0" fillId="2" borderId="1" xfId="0" applyFill="1" applyBorder="1"/>
    <xf numFmtId="0" fontId="0" fillId="3" borderId="0" xfId="0" applyFill="1"/>
    <xf numFmtId="1" fontId="3" fillId="5" borderId="0" xfId="0" applyNumberFormat="1" applyFont="1" applyFill="1"/>
    <xf numFmtId="1" fontId="4" fillId="0" borderId="0" xfId="0" applyNumberFormat="1" applyFont="1"/>
    <xf numFmtId="0" fontId="0" fillId="2" borderId="0" xfId="0" applyFill="1"/>
    <xf numFmtId="1" fontId="0" fillId="4" borderId="0" xfId="0" applyNumberFormat="1" applyFill="1"/>
    <xf numFmtId="0" fontId="0" fillId="6" borderId="1" xfId="0" applyFill="1" applyBorder="1"/>
    <xf numFmtId="1" fontId="0" fillId="7" borderId="1" xfId="0" applyNumberFormat="1" applyFill="1" applyBorder="1"/>
    <xf numFmtId="0" fontId="0" fillId="7" borderId="1" xfId="0" applyFill="1" applyBorder="1"/>
    <xf numFmtId="0" fontId="3" fillId="7" borderId="0" xfId="0" applyFont="1" applyFill="1" applyAlignment="1">
      <alignment horizontal="center"/>
    </xf>
    <xf numFmtId="1" fontId="0" fillId="7" borderId="0" xfId="0" applyNumberFormat="1" applyFill="1"/>
    <xf numFmtId="0" fontId="2" fillId="0" borderId="1" xfId="0" applyFont="1" applyBorder="1"/>
    <xf numFmtId="0" fontId="3" fillId="0" borderId="2" xfId="0" applyFont="1" applyBorder="1" applyAlignment="1">
      <alignment horizontal="center"/>
    </xf>
    <xf numFmtId="9" fontId="0" fillId="0" borderId="0" xfId="0" applyNumberFormat="1"/>
    <xf numFmtId="0" fontId="4" fillId="0" borderId="0" xfId="0" applyFont="1"/>
    <xf numFmtId="0" fontId="0" fillId="0" borderId="0" xfId="0" applyAlignment="1">
      <alignment horizontal="center"/>
    </xf>
    <xf numFmtId="0" fontId="4" fillId="5" borderId="0" xfId="0" applyFont="1" applyFill="1" applyAlignment="1">
      <alignment horizontal="center"/>
    </xf>
    <xf numFmtId="0" fontId="2" fillId="0" borderId="0" xfId="0" applyFont="1"/>
    <xf numFmtId="0" fontId="2" fillId="0" borderId="0" xfId="0" applyFont="1" applyAlignment="1">
      <alignment horizontal="center"/>
    </xf>
    <xf numFmtId="0" fontId="0" fillId="6" borderId="0" xfId="0" applyFill="1"/>
    <xf numFmtId="3" fontId="0" fillId="0" borderId="1" xfId="0" applyNumberFormat="1" applyBorder="1"/>
    <xf numFmtId="0" fontId="0" fillId="7" borderId="0" xfId="0" applyFill="1"/>
    <xf numFmtId="0" fontId="4" fillId="5" borderId="1" xfId="0" applyFont="1" applyFill="1" applyBorder="1"/>
    <xf numFmtId="3" fontId="4" fillId="0" borderId="1" xfId="0" applyNumberFormat="1" applyFont="1" applyBorder="1"/>
    <xf numFmtId="0" fontId="1" fillId="0" borderId="0" xfId="0" applyFont="1" applyAlignment="1">
      <alignment horizontal="center"/>
    </xf>
    <xf numFmtId="0" fontId="4" fillId="0" borderId="1" xfId="0" applyFont="1" applyBorder="1"/>
    <xf numFmtId="0" fontId="4" fillId="0" borderId="2" xfId="0" applyFont="1" applyBorder="1"/>
    <xf numFmtId="9" fontId="0" fillId="6" borderId="2" xfId="0" applyNumberFormat="1" applyFill="1" applyBorder="1"/>
    <xf numFmtId="0" fontId="3" fillId="6" borderId="0" xfId="0" applyFont="1" applyFill="1" applyAlignment="1">
      <alignment horizontal="center"/>
    </xf>
    <xf numFmtId="1" fontId="0" fillId="6" borderId="0" xfId="0" applyNumberFormat="1" applyFill="1"/>
    <xf numFmtId="1" fontId="0" fillId="6" borderId="1" xfId="0" applyNumberFormat="1" applyFill="1" applyBorder="1"/>
    <xf numFmtId="1" fontId="0" fillId="8" borderId="1" xfId="0" applyNumberFormat="1" applyFill="1" applyBorder="1"/>
    <xf numFmtId="0" fontId="3" fillId="8" borderId="0" xfId="0" applyFont="1" applyFill="1" applyAlignment="1">
      <alignment horizontal="center"/>
    </xf>
    <xf numFmtId="0" fontId="0" fillId="8" borderId="1" xfId="0" applyFill="1" applyBorder="1"/>
    <xf numFmtId="1" fontId="0" fillId="9" borderId="1" xfId="0" applyNumberFormat="1" applyFill="1" applyBorder="1"/>
    <xf numFmtId="0" fontId="1" fillId="0" borderId="1" xfId="0" applyFont="1" applyBorder="1"/>
    <xf numFmtId="1" fontId="4" fillId="0" borderId="1" xfId="0" applyNumberFormat="1" applyFont="1" applyBorder="1"/>
    <xf numFmtId="1" fontId="1" fillId="0" borderId="0" xfId="0" applyNumberFormat="1" applyFont="1" applyAlignment="1">
      <alignment horizontal="center"/>
    </xf>
    <xf numFmtId="1" fontId="4" fillId="5" borderId="0" xfId="0" applyNumberFormat="1" applyFont="1" applyFill="1"/>
    <xf numFmtId="0" fontId="2" fillId="7" borderId="0" xfId="0" applyFont="1" applyFill="1"/>
    <xf numFmtId="0" fontId="2" fillId="3" borderId="0" xfId="0" applyFont="1" applyFill="1"/>
    <xf numFmtId="1" fontId="1" fillId="0" borderId="1" xfId="0" applyNumberFormat="1" applyFont="1" applyBorder="1" applyAlignment="1">
      <alignment horizontal="center"/>
    </xf>
    <xf numFmtId="1" fontId="1" fillId="0" borderId="1" xfId="0" applyNumberFormat="1" applyFont="1" applyBorder="1"/>
    <xf numFmtId="0" fontId="5" fillId="0" borderId="0" xfId="0" applyFont="1"/>
    <xf numFmtId="3" fontId="4" fillId="0" borderId="0" xfId="0" applyNumberFormat="1" applyFont="1"/>
    <xf numFmtId="0" fontId="0" fillId="5" borderId="1" xfId="0" applyFill="1" applyBorder="1"/>
    <xf numFmtId="0" fontId="0" fillId="10" borderId="1" xfId="0" applyFill="1" applyBorder="1"/>
    <xf numFmtId="1" fontId="2" fillId="0" borderId="1" xfId="0" applyNumberFormat="1" applyFont="1" applyBorder="1"/>
    <xf numFmtId="1" fontId="1" fillId="0" borderId="0" xfId="0" applyNumberFormat="1" applyFont="1"/>
    <xf numFmtId="0" fontId="0" fillId="0" borderId="2" xfId="0" applyBorder="1"/>
    <xf numFmtId="2" fontId="2" fillId="0" borderId="1" xfId="0" applyNumberFormat="1" applyFont="1" applyBorder="1"/>
    <xf numFmtId="1" fontId="6" fillId="0" borderId="0" xfId="0" applyNumberFormat="1" applyFont="1"/>
    <xf numFmtId="0" fontId="0" fillId="0" borderId="1" xfId="0" applyBorder="1" applyAlignment="1">
      <alignment horizontal="center"/>
    </xf>
    <xf numFmtId="1" fontId="2" fillId="0" borderId="0" xfId="0" applyNumberFormat="1" applyFont="1" applyAlignment="1">
      <alignment horizontal="center"/>
    </xf>
    <xf numFmtId="1" fontId="2" fillId="0" borderId="1" xfId="0" applyNumberFormat="1" applyFont="1" applyBorder="1" applyAlignment="1">
      <alignment horizontal="center"/>
    </xf>
    <xf numFmtId="0" fontId="0" fillId="0" borderId="0" xfId="1" applyNumberFormat="1" applyFont="1"/>
    <xf numFmtId="1" fontId="4" fillId="0" borderId="0" xfId="0" applyNumberFormat="1" applyFont="1" applyAlignment="1">
      <alignment horizontal="center"/>
    </xf>
    <xf numFmtId="1" fontId="4" fillId="0" borderId="1" xfId="0" applyNumberFormat="1" applyFont="1" applyBorder="1" applyAlignment="1">
      <alignment horizontal="center"/>
    </xf>
    <xf numFmtId="1" fontId="0" fillId="5" borderId="0" xfId="0" applyNumberFormat="1" applyFill="1"/>
    <xf numFmtId="0" fontId="0" fillId="9" borderId="0" xfId="0" applyFill="1"/>
    <xf numFmtId="0" fontId="0" fillId="9" borderId="1" xfId="0" applyFill="1" applyBorder="1"/>
    <xf numFmtId="1" fontId="4" fillId="9" borderId="1" xfId="0" applyNumberFormat="1" applyFont="1" applyFill="1" applyBorder="1" applyAlignment="1">
      <alignment horizontal="center"/>
    </xf>
    <xf numFmtId="1" fontId="0" fillId="9" borderId="0" xfId="0" applyNumberFormat="1" applyFill="1"/>
    <xf numFmtId="0" fontId="9" fillId="9" borderId="1" xfId="0" applyFont="1" applyFill="1" applyBorder="1"/>
    <xf numFmtId="0" fontId="9" fillId="0" borderId="1" xfId="0" applyFont="1" applyBorder="1"/>
    <xf numFmtId="0" fontId="1" fillId="0" borderId="0" xfId="0" applyFont="1"/>
    <xf numFmtId="0" fontId="2" fillId="9" borderId="1" xfId="0" applyFont="1" applyFill="1" applyBorder="1"/>
    <xf numFmtId="0" fontId="2" fillId="9" borderId="0" xfId="0" applyFont="1" applyFill="1"/>
    <xf numFmtId="0" fontId="10" fillId="9" borderId="1" xfId="0" applyFont="1" applyFill="1" applyBorder="1"/>
    <xf numFmtId="1" fontId="2" fillId="9" borderId="0" xfId="0" applyNumberFormat="1" applyFont="1" applyFill="1"/>
    <xf numFmtId="1" fontId="2" fillId="9" borderId="1" xfId="0" applyNumberFormat="1" applyFont="1" applyFill="1" applyBorder="1"/>
    <xf numFmtId="0" fontId="2" fillId="7" borderId="1" xfId="0" applyFont="1" applyFill="1" applyBorder="1"/>
    <xf numFmtId="1" fontId="2" fillId="5" borderId="0" xfId="0" applyNumberFormat="1" applyFont="1" applyFill="1"/>
    <xf numFmtId="0" fontId="0" fillId="3" borderId="1" xfId="0" applyFill="1" applyBorder="1"/>
    <xf numFmtId="1" fontId="0" fillId="3" borderId="1" xfId="0" applyNumberFormat="1" applyFill="1" applyBorder="1"/>
    <xf numFmtId="1" fontId="4" fillId="3" borderId="1" xfId="0" applyNumberFormat="1" applyFont="1" applyFill="1" applyBorder="1" applyAlignment="1">
      <alignment horizontal="center"/>
    </xf>
    <xf numFmtId="1" fontId="0" fillId="3" borderId="0" xfId="0" applyNumberFormat="1" applyFill="1"/>
    <xf numFmtId="0" fontId="2" fillId="0" borderId="5" xfId="0" applyFont="1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4" xfId="0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0" fillId="5" borderId="0" xfId="0" applyFill="1"/>
  </cellXfs>
  <cellStyles count="2">
    <cellStyle name="Normal" xfId="0" builtinId="0"/>
    <cellStyle name="Pourcentag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942D18-5D3E-48D5-9A53-97B3FC5EA6B9}">
  <sheetPr>
    <pageSetUpPr fitToPage="1"/>
  </sheetPr>
  <dimension ref="A1:W106"/>
  <sheetViews>
    <sheetView zoomScale="115" zoomScaleNormal="115" workbookViewId="0">
      <selection activeCell="A4" sqref="A4:E24"/>
    </sheetView>
  </sheetViews>
  <sheetFormatPr baseColWidth="10" defaultRowHeight="14.5" x14ac:dyDescent="0.35"/>
  <cols>
    <col min="1" max="1" width="33.81640625" bestFit="1" customWidth="1"/>
    <col min="4" max="4" width="16.90625" customWidth="1"/>
    <col min="7" max="7" width="15" customWidth="1"/>
    <col min="14" max="14" width="33.81640625" bestFit="1" customWidth="1"/>
    <col min="19" max="19" width="13.81640625" bestFit="1" customWidth="1"/>
  </cols>
  <sheetData>
    <row r="1" spans="1:23" x14ac:dyDescent="0.35">
      <c r="A1" t="s">
        <v>0</v>
      </c>
    </row>
    <row r="4" spans="1:23" x14ac:dyDescent="0.35">
      <c r="A4" s="1"/>
      <c r="B4" s="1"/>
      <c r="C4" s="1"/>
      <c r="D4" s="1" t="s">
        <v>118</v>
      </c>
      <c r="E4" s="58">
        <v>2025</v>
      </c>
      <c r="I4" s="87" t="s">
        <v>108</v>
      </c>
      <c r="J4" s="87"/>
      <c r="K4" s="87"/>
    </row>
    <row r="5" spans="1:23" x14ac:dyDescent="0.35">
      <c r="A5" s="1"/>
      <c r="B5" s="1"/>
      <c r="C5" s="1" t="s">
        <v>25</v>
      </c>
      <c r="D5" t="s">
        <v>42</v>
      </c>
      <c r="E5" s="58" t="s">
        <v>90</v>
      </c>
      <c r="I5">
        <v>2023</v>
      </c>
      <c r="J5">
        <v>2024</v>
      </c>
      <c r="K5">
        <v>2025</v>
      </c>
      <c r="O5" s="87" t="s">
        <v>110</v>
      </c>
      <c r="P5" s="87"/>
      <c r="Q5" s="87"/>
      <c r="R5" s="87"/>
      <c r="S5" s="23"/>
      <c r="T5" s="87" t="s">
        <v>109</v>
      </c>
      <c r="U5" s="87"/>
      <c r="V5" s="87"/>
      <c r="W5" s="87"/>
    </row>
    <row r="6" spans="1:23" x14ac:dyDescent="0.35">
      <c r="A6">
        <v>2025</v>
      </c>
      <c r="B6" t="s">
        <v>117</v>
      </c>
      <c r="C6" t="s">
        <v>24</v>
      </c>
      <c r="D6" t="s">
        <v>28</v>
      </c>
      <c r="E6" s="58" t="s">
        <v>1</v>
      </c>
      <c r="K6" t="s">
        <v>84</v>
      </c>
      <c r="O6" s="20">
        <v>2023</v>
      </c>
      <c r="P6" s="20">
        <v>2024</v>
      </c>
      <c r="Q6" s="23">
        <v>2025</v>
      </c>
      <c r="R6" s="23" t="s">
        <v>115</v>
      </c>
      <c r="S6" s="22" t="s">
        <v>114</v>
      </c>
      <c r="T6">
        <v>2023</v>
      </c>
      <c r="U6">
        <v>2024</v>
      </c>
      <c r="V6">
        <v>2025</v>
      </c>
      <c r="W6">
        <v>2026</v>
      </c>
    </row>
    <row r="7" spans="1:23" x14ac:dyDescent="0.35">
      <c r="A7" s="11" t="s">
        <v>2</v>
      </c>
      <c r="B7" s="11">
        <v>1172</v>
      </c>
      <c r="C7" s="11">
        <v>1160</v>
      </c>
      <c r="D7" s="11">
        <v>1160</v>
      </c>
      <c r="E7" s="59">
        <f t="shared" ref="E7:E24" si="0">(D7-(D7/228*5))*0.99/0.75</f>
        <v>1497.621052631579</v>
      </c>
      <c r="I7" s="4">
        <v>2000</v>
      </c>
      <c r="J7" s="52">
        <v>1310</v>
      </c>
      <c r="K7" s="2">
        <f>((E7/J7)-1)*100</f>
        <v>14.322217758135803</v>
      </c>
      <c r="N7" s="11" t="s">
        <v>2</v>
      </c>
      <c r="O7" s="3">
        <v>45</v>
      </c>
      <c r="P7" s="3">
        <v>45</v>
      </c>
      <c r="Q7" s="16">
        <v>46</v>
      </c>
      <c r="R7" s="55">
        <v>49</v>
      </c>
      <c r="S7" s="16">
        <v>57</v>
      </c>
      <c r="T7" s="3">
        <f>O7*I7</f>
        <v>90000</v>
      </c>
      <c r="U7" s="3">
        <f>P7*J7</f>
        <v>58950</v>
      </c>
      <c r="V7" s="3">
        <f>Q7*E7</f>
        <v>68890.568421052638</v>
      </c>
      <c r="W7" s="3"/>
    </row>
    <row r="8" spans="1:23" x14ac:dyDescent="0.35">
      <c r="A8" s="3" t="s">
        <v>3</v>
      </c>
      <c r="B8" s="3">
        <v>1038</v>
      </c>
      <c r="C8" s="3">
        <v>1028</v>
      </c>
      <c r="D8" s="13">
        <v>1028</v>
      </c>
      <c r="E8" s="59">
        <f t="shared" si="0"/>
        <v>1327.2021052631578</v>
      </c>
      <c r="I8" s="4">
        <v>2006</v>
      </c>
      <c r="J8" s="4">
        <v>880</v>
      </c>
      <c r="K8" s="2">
        <f t="shared" ref="K8:K24" si="1">((E8/J8)-1)*100</f>
        <v>50.818421052631571</v>
      </c>
      <c r="N8" s="3" t="s">
        <v>3</v>
      </c>
      <c r="O8" s="3">
        <v>37</v>
      </c>
      <c r="P8" s="3">
        <v>37</v>
      </c>
      <c r="Q8" s="16">
        <v>37</v>
      </c>
      <c r="R8" s="55">
        <v>40</v>
      </c>
      <c r="S8" s="16">
        <v>46.5</v>
      </c>
      <c r="T8" s="3">
        <f t="shared" ref="T8:T24" si="2">O8*I8</f>
        <v>74222</v>
      </c>
      <c r="U8" s="3">
        <f t="shared" ref="U8:U24" si="3">P8*J8</f>
        <v>32560</v>
      </c>
      <c r="V8" s="3">
        <f t="shared" ref="V8:V24" si="4">Q8*E8</f>
        <v>49106.47789473684</v>
      </c>
      <c r="W8" s="3"/>
    </row>
    <row r="9" spans="1:23" x14ac:dyDescent="0.35">
      <c r="A9" s="3" t="s">
        <v>4</v>
      </c>
      <c r="B9" s="3">
        <v>4104</v>
      </c>
      <c r="C9" s="3">
        <v>4104</v>
      </c>
      <c r="D9" s="51">
        <f>C9-H27</f>
        <v>4104</v>
      </c>
      <c r="E9" s="59">
        <f t="shared" si="0"/>
        <v>5298.4800000000005</v>
      </c>
      <c r="I9" s="4">
        <v>4411</v>
      </c>
      <c r="J9" s="4">
        <v>2640</v>
      </c>
      <c r="K9" s="2">
        <f t="shared" si="1"/>
        <v>100.70000000000002</v>
      </c>
      <c r="N9" s="3" t="s">
        <v>4</v>
      </c>
      <c r="O9" s="3">
        <v>15</v>
      </c>
      <c r="P9" s="3">
        <v>15</v>
      </c>
      <c r="Q9" s="16">
        <v>15</v>
      </c>
      <c r="R9" s="55">
        <v>17</v>
      </c>
      <c r="S9" s="16">
        <v>19</v>
      </c>
      <c r="T9" s="3">
        <f t="shared" si="2"/>
        <v>66165</v>
      </c>
      <c r="U9" s="3">
        <f t="shared" si="3"/>
        <v>39600</v>
      </c>
      <c r="V9" s="3">
        <f t="shared" si="4"/>
        <v>79477.200000000012</v>
      </c>
      <c r="W9" s="3"/>
    </row>
    <row r="10" spans="1:23" x14ac:dyDescent="0.35">
      <c r="A10" s="3" t="s">
        <v>111</v>
      </c>
      <c r="B10" s="3">
        <v>1038</v>
      </c>
      <c r="C10" s="3">
        <v>1028</v>
      </c>
      <c r="D10" s="13">
        <v>1028</v>
      </c>
      <c r="E10" s="59">
        <f t="shared" si="0"/>
        <v>1327.2021052631578</v>
      </c>
      <c r="I10" s="4">
        <v>2527</v>
      </c>
      <c r="J10" s="4">
        <v>600</v>
      </c>
      <c r="K10" s="2">
        <f t="shared" si="1"/>
        <v>121.20035087719296</v>
      </c>
      <c r="N10" s="3" t="s">
        <v>111</v>
      </c>
      <c r="O10" s="3">
        <v>56</v>
      </c>
      <c r="P10" s="3">
        <v>56</v>
      </c>
      <c r="Q10" s="16">
        <v>58</v>
      </c>
      <c r="R10" s="55">
        <v>61</v>
      </c>
      <c r="S10" s="16">
        <v>72</v>
      </c>
      <c r="T10" s="3">
        <f t="shared" si="2"/>
        <v>141512</v>
      </c>
      <c r="U10" s="3">
        <f t="shared" si="3"/>
        <v>33600</v>
      </c>
      <c r="V10" s="3">
        <f t="shared" si="4"/>
        <v>76977.72210526315</v>
      </c>
      <c r="W10" s="3"/>
    </row>
    <row r="11" spans="1:23" x14ac:dyDescent="0.35">
      <c r="A11" s="3" t="s">
        <v>7</v>
      </c>
      <c r="B11" s="3">
        <v>864</v>
      </c>
      <c r="C11" s="3">
        <v>856</v>
      </c>
      <c r="D11" s="13">
        <v>856</v>
      </c>
      <c r="E11" s="59">
        <f t="shared" si="0"/>
        <v>1105.1410526315788</v>
      </c>
      <c r="I11" s="4">
        <v>3210</v>
      </c>
      <c r="J11" s="4">
        <v>980</v>
      </c>
      <c r="K11" s="2">
        <f t="shared" si="1"/>
        <v>12.769495166487621</v>
      </c>
      <c r="N11" s="3" t="s">
        <v>7</v>
      </c>
      <c r="O11" s="3">
        <v>215</v>
      </c>
      <c r="P11" s="3">
        <v>215</v>
      </c>
      <c r="Q11" s="16">
        <v>225</v>
      </c>
      <c r="R11" s="55">
        <v>238</v>
      </c>
      <c r="S11" s="16">
        <v>281</v>
      </c>
      <c r="T11" s="3">
        <f t="shared" si="2"/>
        <v>690150</v>
      </c>
      <c r="U11" s="3">
        <f t="shared" si="3"/>
        <v>210700</v>
      </c>
      <c r="V11" s="3">
        <f t="shared" si="4"/>
        <v>248656.73684210522</v>
      </c>
      <c r="W11" s="3"/>
    </row>
    <row r="12" spans="1:23" x14ac:dyDescent="0.35">
      <c r="A12" s="3" t="s">
        <v>8</v>
      </c>
      <c r="B12" s="3">
        <v>1442</v>
      </c>
      <c r="C12" s="3">
        <v>1428</v>
      </c>
      <c r="D12" s="13">
        <v>1428</v>
      </c>
      <c r="E12" s="59">
        <f t="shared" si="0"/>
        <v>1843.623157894737</v>
      </c>
      <c r="I12" s="4">
        <v>3034</v>
      </c>
      <c r="J12" s="4">
        <v>1180</v>
      </c>
      <c r="K12" s="2">
        <f t="shared" si="1"/>
        <v>56.239250669045518</v>
      </c>
      <c r="N12" s="3" t="s">
        <v>8</v>
      </c>
      <c r="O12" s="3">
        <v>222</v>
      </c>
      <c r="P12" s="3">
        <v>222</v>
      </c>
      <c r="Q12" s="16">
        <v>230</v>
      </c>
      <c r="R12" s="55">
        <v>243</v>
      </c>
      <c r="S12" s="16">
        <v>287</v>
      </c>
      <c r="T12" s="3">
        <f t="shared" si="2"/>
        <v>673548</v>
      </c>
      <c r="U12" s="3">
        <f t="shared" si="3"/>
        <v>261960</v>
      </c>
      <c r="V12" s="3">
        <f t="shared" si="4"/>
        <v>424033.32631578948</v>
      </c>
      <c r="W12" s="3"/>
    </row>
    <row r="13" spans="1:23" x14ac:dyDescent="0.35">
      <c r="A13" s="3" t="s">
        <v>9</v>
      </c>
      <c r="B13" s="3">
        <v>5472</v>
      </c>
      <c r="C13" s="3">
        <v>5472</v>
      </c>
      <c r="D13" s="5">
        <f>C13-152</f>
        <v>5320</v>
      </c>
      <c r="E13" s="59">
        <f t="shared" si="0"/>
        <v>6868.3999999999987</v>
      </c>
      <c r="F13" t="s">
        <v>5</v>
      </c>
      <c r="I13" s="4">
        <v>14617</v>
      </c>
      <c r="J13" s="4">
        <v>5800</v>
      </c>
      <c r="K13" s="2">
        <f t="shared" si="1"/>
        <v>18.420689655172385</v>
      </c>
      <c r="N13" s="3" t="s">
        <v>9</v>
      </c>
      <c r="O13" s="3">
        <v>15.5</v>
      </c>
      <c r="P13" s="3">
        <v>15.5</v>
      </c>
      <c r="Q13" s="16">
        <v>15.5</v>
      </c>
      <c r="R13" s="55">
        <v>17</v>
      </c>
      <c r="S13" s="16">
        <v>18</v>
      </c>
      <c r="T13" s="3">
        <f t="shared" si="2"/>
        <v>226563.5</v>
      </c>
      <c r="U13" s="3">
        <f t="shared" si="3"/>
        <v>89900</v>
      </c>
      <c r="V13" s="3">
        <f t="shared" si="4"/>
        <v>106460.19999999998</v>
      </c>
      <c r="W13" s="3"/>
    </row>
    <row r="14" spans="1:23" x14ac:dyDescent="0.35">
      <c r="A14" s="11" t="s">
        <v>10</v>
      </c>
      <c r="B14" s="11">
        <v>4400</v>
      </c>
      <c r="C14" s="11">
        <v>4400</v>
      </c>
      <c r="D14" s="35">
        <f>C14-E29</f>
        <v>4288.8</v>
      </c>
      <c r="E14" s="59">
        <f t="shared" si="0"/>
        <v>5537.0665263157898</v>
      </c>
      <c r="F14" t="s">
        <v>5</v>
      </c>
      <c r="I14" s="4">
        <v>6930</v>
      </c>
      <c r="J14" s="52">
        <v>7758</v>
      </c>
      <c r="K14" s="53">
        <f t="shared" si="1"/>
        <v>-28.627654984328565</v>
      </c>
      <c r="N14" s="11" t="s">
        <v>10</v>
      </c>
      <c r="O14" s="3">
        <v>16</v>
      </c>
      <c r="P14" s="3">
        <v>16</v>
      </c>
      <c r="Q14" s="16">
        <v>17</v>
      </c>
      <c r="R14" s="55">
        <v>18</v>
      </c>
      <c r="S14" s="16">
        <v>21</v>
      </c>
      <c r="T14" s="3">
        <f t="shared" si="2"/>
        <v>110880</v>
      </c>
      <c r="U14" s="3">
        <f t="shared" si="3"/>
        <v>124128</v>
      </c>
      <c r="V14" s="3">
        <f t="shared" si="4"/>
        <v>94130.130947368423</v>
      </c>
      <c r="W14" s="3"/>
    </row>
    <row r="15" spans="1:23" x14ac:dyDescent="0.35">
      <c r="A15" s="38" t="s">
        <v>11</v>
      </c>
      <c r="B15" s="3">
        <v>7250</v>
      </c>
      <c r="C15" s="3">
        <v>7250</v>
      </c>
      <c r="D15" s="36">
        <f>C15-E32</f>
        <v>7141.25</v>
      </c>
      <c r="E15" s="59">
        <f t="shared" si="0"/>
        <v>9219.7296052631573</v>
      </c>
      <c r="F15" t="s">
        <v>5</v>
      </c>
      <c r="I15" s="4">
        <v>13800</v>
      </c>
      <c r="J15" s="52">
        <v>9562</v>
      </c>
      <c r="K15" s="56">
        <f t="shared" si="1"/>
        <v>-3.5794854082497718</v>
      </c>
      <c r="N15" s="38" t="s">
        <v>11</v>
      </c>
      <c r="O15" s="3">
        <v>14</v>
      </c>
      <c r="P15" s="3">
        <v>14</v>
      </c>
      <c r="Q15" s="16">
        <v>14</v>
      </c>
      <c r="R15" s="55">
        <v>14</v>
      </c>
      <c r="S15" s="16">
        <v>16.25</v>
      </c>
      <c r="T15" s="3">
        <f t="shared" si="2"/>
        <v>193200</v>
      </c>
      <c r="U15" s="3">
        <f t="shared" si="3"/>
        <v>133868</v>
      </c>
      <c r="V15" s="3">
        <f t="shared" si="4"/>
        <v>129076.2144736842</v>
      </c>
      <c r="W15" s="3"/>
    </row>
    <row r="16" spans="1:23" x14ac:dyDescent="0.35">
      <c r="A16" s="3" t="s">
        <v>12</v>
      </c>
      <c r="B16" s="3">
        <v>865</v>
      </c>
      <c r="C16" s="3">
        <v>856</v>
      </c>
      <c r="D16" s="13">
        <v>856</v>
      </c>
      <c r="E16" s="59">
        <f t="shared" si="0"/>
        <v>1105.1410526315788</v>
      </c>
      <c r="I16" s="4">
        <v>2092</v>
      </c>
      <c r="J16" s="4">
        <v>600</v>
      </c>
      <c r="K16" s="2">
        <f t="shared" si="1"/>
        <v>84.190175438596455</v>
      </c>
      <c r="N16" s="3" t="s">
        <v>12</v>
      </c>
      <c r="O16" s="3">
        <v>71</v>
      </c>
      <c r="P16" s="3">
        <v>71</v>
      </c>
      <c r="Q16" s="16">
        <v>71</v>
      </c>
      <c r="R16" s="55">
        <v>77</v>
      </c>
      <c r="S16" s="16">
        <v>89</v>
      </c>
      <c r="T16" s="3">
        <f t="shared" si="2"/>
        <v>148532</v>
      </c>
      <c r="U16" s="3">
        <f t="shared" si="3"/>
        <v>42600</v>
      </c>
      <c r="V16" s="3">
        <f t="shared" si="4"/>
        <v>78465.014736842088</v>
      </c>
      <c r="W16" s="3"/>
    </row>
    <row r="17" spans="1:23" x14ac:dyDescent="0.35">
      <c r="A17" s="3" t="s">
        <v>13</v>
      </c>
      <c r="B17" s="3">
        <v>252</v>
      </c>
      <c r="C17" s="3">
        <v>250</v>
      </c>
      <c r="D17" s="13">
        <v>250</v>
      </c>
      <c r="E17" s="59">
        <f t="shared" si="0"/>
        <v>322.76315789473682</v>
      </c>
      <c r="I17" s="4">
        <v>873</v>
      </c>
      <c r="J17" s="4">
        <v>300</v>
      </c>
      <c r="K17" s="2">
        <f t="shared" si="1"/>
        <v>7.5877192982455988</v>
      </c>
      <c r="N17" s="3" t="s">
        <v>13</v>
      </c>
      <c r="O17" s="3">
        <v>71</v>
      </c>
      <c r="P17" s="3">
        <v>71</v>
      </c>
      <c r="Q17" s="16">
        <v>71</v>
      </c>
      <c r="R17" s="55">
        <v>77</v>
      </c>
      <c r="S17" s="16">
        <v>89</v>
      </c>
      <c r="T17" s="3">
        <f t="shared" si="2"/>
        <v>61983</v>
      </c>
      <c r="U17" s="3">
        <f t="shared" si="3"/>
        <v>21300</v>
      </c>
      <c r="V17" s="3">
        <f t="shared" si="4"/>
        <v>22916.184210526313</v>
      </c>
      <c r="W17" s="3"/>
    </row>
    <row r="18" spans="1:23" x14ac:dyDescent="0.35">
      <c r="A18" s="3" t="s">
        <v>14</v>
      </c>
      <c r="B18" s="3">
        <v>404</v>
      </c>
      <c r="C18" s="3">
        <v>400</v>
      </c>
      <c r="D18" s="13">
        <v>400</v>
      </c>
      <c r="E18" s="59">
        <f t="shared" si="0"/>
        <v>516.42105263157885</v>
      </c>
      <c r="I18" s="4">
        <v>2259</v>
      </c>
      <c r="J18" s="4">
        <v>550</v>
      </c>
      <c r="K18" s="2">
        <f t="shared" si="1"/>
        <v>-6.1052631578947576</v>
      </c>
      <c r="N18" s="3" t="s">
        <v>14</v>
      </c>
      <c r="O18" s="3">
        <v>71</v>
      </c>
      <c r="P18" s="3">
        <v>71</v>
      </c>
      <c r="Q18" s="16">
        <v>71</v>
      </c>
      <c r="R18" s="55">
        <v>77</v>
      </c>
      <c r="S18" s="16">
        <v>89</v>
      </c>
      <c r="T18" s="3">
        <f t="shared" si="2"/>
        <v>160389</v>
      </c>
      <c r="U18" s="3">
        <f t="shared" si="3"/>
        <v>39050</v>
      </c>
      <c r="V18" s="3">
        <f t="shared" si="4"/>
        <v>36665.8947368421</v>
      </c>
      <c r="W18" s="3"/>
    </row>
    <row r="19" spans="1:23" x14ac:dyDescent="0.35">
      <c r="A19" s="3" t="s">
        <v>15</v>
      </c>
      <c r="B19" s="3">
        <v>1442</v>
      </c>
      <c r="C19" s="3">
        <v>1428</v>
      </c>
      <c r="D19" s="13">
        <v>1428</v>
      </c>
      <c r="E19" s="59">
        <f t="shared" si="0"/>
        <v>1843.623157894737</v>
      </c>
      <c r="I19" s="4">
        <v>2326</v>
      </c>
      <c r="J19" s="4">
        <v>1180</v>
      </c>
      <c r="K19" s="2">
        <f t="shared" si="1"/>
        <v>56.239250669045518</v>
      </c>
      <c r="N19" s="3" t="s">
        <v>15</v>
      </c>
      <c r="O19" s="3">
        <v>510</v>
      </c>
      <c r="P19" s="3">
        <v>510</v>
      </c>
      <c r="Q19" s="16">
        <v>530</v>
      </c>
      <c r="R19" s="55">
        <v>600</v>
      </c>
      <c r="S19" s="16">
        <v>710</v>
      </c>
      <c r="T19" s="3">
        <f t="shared" si="2"/>
        <v>1186260</v>
      </c>
      <c r="U19" s="3">
        <f t="shared" si="3"/>
        <v>601800</v>
      </c>
      <c r="V19" s="3">
        <f t="shared" si="4"/>
        <v>977120.27368421061</v>
      </c>
      <c r="W19" s="3"/>
    </row>
    <row r="20" spans="1:23" x14ac:dyDescent="0.35">
      <c r="A20" s="3" t="s">
        <v>16</v>
      </c>
      <c r="B20" s="3">
        <v>1852</v>
      </c>
      <c r="C20" s="3">
        <v>1834</v>
      </c>
      <c r="D20" s="13">
        <v>1834</v>
      </c>
      <c r="E20" s="59">
        <f t="shared" si="0"/>
        <v>2367.7905263157895</v>
      </c>
      <c r="I20" s="4">
        <v>3129</v>
      </c>
      <c r="J20" s="4">
        <v>0</v>
      </c>
      <c r="K20" s="2">
        <f>((E20/I20)-1)*100</f>
        <v>-24.327563876133283</v>
      </c>
      <c r="L20" t="s">
        <v>107</v>
      </c>
      <c r="N20" s="3" t="s">
        <v>16</v>
      </c>
      <c r="O20" s="3">
        <v>36</v>
      </c>
      <c r="P20" s="3"/>
      <c r="Q20" s="16">
        <v>36</v>
      </c>
      <c r="R20" s="55">
        <v>39</v>
      </c>
      <c r="S20" s="16">
        <v>45</v>
      </c>
      <c r="T20" s="3">
        <f t="shared" si="2"/>
        <v>112644</v>
      </c>
      <c r="U20" s="3">
        <f t="shared" si="3"/>
        <v>0</v>
      </c>
      <c r="V20" s="3">
        <f t="shared" si="4"/>
        <v>85240.458947368417</v>
      </c>
      <c r="W20" s="3"/>
    </row>
    <row r="21" spans="1:23" x14ac:dyDescent="0.35">
      <c r="A21" s="3" t="s">
        <v>17</v>
      </c>
      <c r="B21" s="3">
        <v>303</v>
      </c>
      <c r="C21" s="3">
        <v>300</v>
      </c>
      <c r="D21" s="13">
        <v>0</v>
      </c>
      <c r="E21" s="59">
        <f t="shared" si="0"/>
        <v>0</v>
      </c>
      <c r="F21" t="s">
        <v>106</v>
      </c>
      <c r="I21" s="4">
        <v>1488</v>
      </c>
      <c r="J21" s="4">
        <v>0</v>
      </c>
      <c r="K21" s="53">
        <v>0</v>
      </c>
      <c r="N21" s="3" t="s">
        <v>17</v>
      </c>
      <c r="O21" s="3">
        <v>32</v>
      </c>
      <c r="P21" s="3"/>
      <c r="Q21" s="16"/>
      <c r="R21" s="55">
        <f>S21*0.85</f>
        <v>0</v>
      </c>
      <c r="S21" s="16"/>
      <c r="T21" s="3">
        <f t="shared" si="2"/>
        <v>47616</v>
      </c>
      <c r="U21" s="3">
        <f t="shared" si="3"/>
        <v>0</v>
      </c>
      <c r="V21" s="3">
        <f t="shared" si="4"/>
        <v>0</v>
      </c>
      <c r="W21" s="3"/>
    </row>
    <row r="22" spans="1:23" x14ac:dyDescent="0.35">
      <c r="A22" s="3" t="s">
        <v>18</v>
      </c>
      <c r="B22" s="83">
        <v>3643</v>
      </c>
      <c r="C22" s="3">
        <v>2156</v>
      </c>
      <c r="D22" s="13">
        <v>2156</v>
      </c>
      <c r="E22" s="59">
        <f t="shared" si="0"/>
        <v>2783.5094736842107</v>
      </c>
      <c r="I22" s="4">
        <v>6871</v>
      </c>
      <c r="J22" s="4">
        <v>2400</v>
      </c>
      <c r="K22" s="2">
        <f t="shared" si="1"/>
        <v>15.979561403508779</v>
      </c>
      <c r="N22" s="3" t="s">
        <v>18</v>
      </c>
      <c r="O22" s="3">
        <v>56</v>
      </c>
      <c r="P22" s="3">
        <v>56</v>
      </c>
      <c r="Q22" s="16">
        <v>59</v>
      </c>
      <c r="R22" s="55">
        <v>62</v>
      </c>
      <c r="S22" s="16">
        <v>73</v>
      </c>
      <c r="T22" s="3">
        <f t="shared" si="2"/>
        <v>384776</v>
      </c>
      <c r="U22" s="3">
        <f t="shared" si="3"/>
        <v>134400</v>
      </c>
      <c r="V22" s="3">
        <f t="shared" si="4"/>
        <v>164227.05894736844</v>
      </c>
      <c r="W22" s="3"/>
    </row>
    <row r="23" spans="1:23" x14ac:dyDescent="0.35">
      <c r="A23" s="3" t="s">
        <v>19</v>
      </c>
      <c r="B23" s="84"/>
      <c r="C23" s="3">
        <v>650</v>
      </c>
      <c r="D23" s="13">
        <v>650</v>
      </c>
      <c r="E23" s="59">
        <f t="shared" si="0"/>
        <v>839.18421052631572</v>
      </c>
      <c r="I23" s="4">
        <v>1988</v>
      </c>
      <c r="J23" s="4">
        <v>600</v>
      </c>
      <c r="K23" s="2">
        <f t="shared" si="1"/>
        <v>39.864035087719294</v>
      </c>
      <c r="N23" s="3" t="s">
        <v>19</v>
      </c>
      <c r="O23" s="3">
        <v>56</v>
      </c>
      <c r="P23" s="3">
        <v>56</v>
      </c>
      <c r="Q23" s="16">
        <v>59</v>
      </c>
      <c r="R23" s="55">
        <v>62</v>
      </c>
      <c r="S23" s="16">
        <v>73</v>
      </c>
      <c r="T23" s="3">
        <f t="shared" si="2"/>
        <v>111328</v>
      </c>
      <c r="U23" s="3">
        <f t="shared" si="3"/>
        <v>33600</v>
      </c>
      <c r="V23" s="3">
        <f t="shared" si="4"/>
        <v>49511.868421052626</v>
      </c>
      <c r="W23" s="3"/>
    </row>
    <row r="24" spans="1:23" x14ac:dyDescent="0.35">
      <c r="A24" s="3" t="s">
        <v>20</v>
      </c>
      <c r="B24" s="85"/>
      <c r="C24" s="3">
        <v>800</v>
      </c>
      <c r="D24" s="13">
        <v>800</v>
      </c>
      <c r="E24" s="59">
        <f t="shared" si="0"/>
        <v>1032.8421052631577</v>
      </c>
      <c r="I24" s="4">
        <v>2333</v>
      </c>
      <c r="J24" s="4">
        <v>420</v>
      </c>
      <c r="K24" s="2">
        <f t="shared" si="1"/>
        <v>145.91478696741848</v>
      </c>
      <c r="N24" s="3" t="s">
        <v>20</v>
      </c>
      <c r="O24" s="3">
        <v>56</v>
      </c>
      <c r="P24" s="3">
        <v>56</v>
      </c>
      <c r="Q24" s="16">
        <v>59</v>
      </c>
      <c r="R24" s="55">
        <v>62</v>
      </c>
      <c r="S24" s="16">
        <v>73</v>
      </c>
      <c r="T24" s="3">
        <f t="shared" si="2"/>
        <v>130648</v>
      </c>
      <c r="U24" s="3">
        <f t="shared" si="3"/>
        <v>23520</v>
      </c>
      <c r="V24" s="3">
        <f t="shared" si="4"/>
        <v>60937.684210526306</v>
      </c>
      <c r="W24" s="3"/>
    </row>
    <row r="25" spans="1:23" x14ac:dyDescent="0.35">
      <c r="C25">
        <f>SUM(C7:C24)</f>
        <v>35400</v>
      </c>
      <c r="E25" s="7">
        <f>SUM(E7:E24)</f>
        <v>44835.740342105266</v>
      </c>
      <c r="I25" s="8">
        <f>SUM(I7:I24)</f>
        <v>75894</v>
      </c>
      <c r="J25" s="8">
        <f>SUM(J7:J24)</f>
        <v>36760</v>
      </c>
      <c r="T25" s="54">
        <f>SUM(T6:T24)</f>
        <v>4612439.5</v>
      </c>
      <c r="U25" s="54">
        <f t="shared" ref="U25:W25" si="5">SUM(U6:U24)</f>
        <v>1883560</v>
      </c>
      <c r="V25" s="54">
        <f t="shared" si="5"/>
        <v>2753918.0148947369</v>
      </c>
      <c r="W25" s="54">
        <f t="shared" si="5"/>
        <v>2026</v>
      </c>
    </row>
    <row r="26" spans="1:23" x14ac:dyDescent="0.35">
      <c r="E26" s="8"/>
      <c r="G26" s="86" t="s">
        <v>89</v>
      </c>
      <c r="H26" s="86"/>
      <c r="I26" s="86"/>
      <c r="J26" s="86"/>
      <c r="K26" s="86"/>
      <c r="N26" t="s">
        <v>112</v>
      </c>
      <c r="Q26">
        <v>710</v>
      </c>
      <c r="U26" s="54">
        <f>120*710</f>
        <v>85200</v>
      </c>
    </row>
    <row r="27" spans="1:23" x14ac:dyDescent="0.35">
      <c r="A27" s="14" t="s">
        <v>88</v>
      </c>
      <c r="B27" s="14"/>
      <c r="C27" s="14">
        <f>C24+C23+C22+C21+C20+C19+C18+C17+C16+B13+C12+C11+C10+B9+C8</f>
        <v>22590</v>
      </c>
      <c r="D27" s="14">
        <f>D24+D23+D22+D21+D20+D19+D18+D17+D16+C13+D12+D11+D10+C9+D8</f>
        <v>22290</v>
      </c>
      <c r="E27" s="15">
        <f>C27*0.02</f>
        <v>451.8</v>
      </c>
      <c r="F27" t="s">
        <v>105</v>
      </c>
      <c r="G27" s="9"/>
      <c r="I27" s="9"/>
      <c r="J27" s="9"/>
      <c r="N27" t="s">
        <v>113</v>
      </c>
      <c r="Q27">
        <v>710</v>
      </c>
      <c r="V27">
        <f>300*710</f>
        <v>213000</v>
      </c>
    </row>
    <row r="28" spans="1:23" x14ac:dyDescent="0.35">
      <c r="A28" s="14"/>
      <c r="B28" s="14"/>
      <c r="C28" s="14"/>
      <c r="D28" s="14"/>
      <c r="E28" s="15"/>
      <c r="F28" t="s">
        <v>122</v>
      </c>
      <c r="G28" s="9"/>
      <c r="I28" s="9"/>
      <c r="J28" s="9"/>
      <c r="U28" s="19">
        <f>U26+U25</f>
        <v>1968760</v>
      </c>
      <c r="V28" s="19">
        <f>V27+V25</f>
        <v>2966918.0148947369</v>
      </c>
    </row>
    <row r="29" spans="1:23" x14ac:dyDescent="0.35">
      <c r="A29" s="33" t="s">
        <v>86</v>
      </c>
      <c r="B29" s="33"/>
      <c r="C29" s="33">
        <f>B14+C7</f>
        <v>5560</v>
      </c>
      <c r="D29" s="33">
        <f>C14+D7</f>
        <v>5560</v>
      </c>
      <c r="E29" s="34">
        <f>C29*0.02</f>
        <v>111.2</v>
      </c>
    </row>
    <row r="30" spans="1:23" x14ac:dyDescent="0.35">
      <c r="E30" s="2"/>
      <c r="G30" s="22" t="s">
        <v>101</v>
      </c>
      <c r="H30" s="22"/>
    </row>
    <row r="31" spans="1:23" x14ac:dyDescent="0.35">
      <c r="E31" s="8" t="s">
        <v>121</v>
      </c>
      <c r="G31" s="22" t="s">
        <v>21</v>
      </c>
      <c r="H31" s="22" t="s">
        <v>102</v>
      </c>
    </row>
    <row r="32" spans="1:23" x14ac:dyDescent="0.35">
      <c r="A32" s="37" t="s">
        <v>23</v>
      </c>
      <c r="B32" s="1"/>
      <c r="C32" s="1"/>
      <c r="D32" s="37">
        <f>C15</f>
        <v>7250</v>
      </c>
      <c r="E32" s="10">
        <f>D32*0.015</f>
        <v>108.75</v>
      </c>
      <c r="G32" s="22" t="s">
        <v>22</v>
      </c>
      <c r="H32" s="16">
        <v>300</v>
      </c>
    </row>
    <row r="33" spans="1:23" x14ac:dyDescent="0.35">
      <c r="E33" s="2"/>
      <c r="G33" s="22" t="s">
        <v>43</v>
      </c>
      <c r="H33" s="16">
        <v>150</v>
      </c>
    </row>
    <row r="34" spans="1:23" x14ac:dyDescent="0.35">
      <c r="E34" s="2"/>
      <c r="G34" s="22" t="s">
        <v>44</v>
      </c>
      <c r="H34" s="16">
        <v>100</v>
      </c>
    </row>
    <row r="35" spans="1:23" x14ac:dyDescent="0.35">
      <c r="E35" s="2"/>
      <c r="G35" s="22" t="s">
        <v>103</v>
      </c>
      <c r="H35">
        <v>300</v>
      </c>
      <c r="I35" t="s">
        <v>104</v>
      </c>
      <c r="J35" t="s">
        <v>78</v>
      </c>
      <c r="K35" t="s">
        <v>77</v>
      </c>
    </row>
    <row r="36" spans="1:23" x14ac:dyDescent="0.35">
      <c r="C36" s="2"/>
      <c r="K36" s="19" t="s">
        <v>45</v>
      </c>
      <c r="O36" t="s">
        <v>46</v>
      </c>
    </row>
    <row r="37" spans="1:23" x14ac:dyDescent="0.35">
      <c r="C37" s="2"/>
      <c r="G37" s="20" t="s">
        <v>47</v>
      </c>
      <c r="H37" t="s">
        <v>62</v>
      </c>
      <c r="I37" s="20" t="s">
        <v>47</v>
      </c>
      <c r="J37" s="20" t="s">
        <v>76</v>
      </c>
      <c r="K37" t="s">
        <v>48</v>
      </c>
      <c r="O37" t="s">
        <v>49</v>
      </c>
      <c r="V37" t="s">
        <v>69</v>
      </c>
    </row>
    <row r="38" spans="1:23" x14ac:dyDescent="0.35">
      <c r="A38">
        <v>2024</v>
      </c>
      <c r="B38" t="s">
        <v>73</v>
      </c>
      <c r="C38" t="s">
        <v>26</v>
      </c>
      <c r="D38" s="21" t="s">
        <v>74</v>
      </c>
      <c r="E38" t="s">
        <v>50</v>
      </c>
      <c r="F38" s="22" t="s">
        <v>51</v>
      </c>
      <c r="G38" s="23" t="s">
        <v>63</v>
      </c>
      <c r="H38" s="22" t="s">
        <v>61</v>
      </c>
      <c r="I38" s="23" t="s">
        <v>52</v>
      </c>
      <c r="J38" s="23" t="s">
        <v>75</v>
      </c>
      <c r="K38" s="20" t="s">
        <v>53</v>
      </c>
      <c r="L38" s="23" t="s">
        <v>82</v>
      </c>
      <c r="M38" s="23" t="s">
        <v>83</v>
      </c>
      <c r="N38" t="s">
        <v>79</v>
      </c>
      <c r="O38" t="s">
        <v>54</v>
      </c>
      <c r="P38" t="s">
        <v>64</v>
      </c>
      <c r="U38" t="s">
        <v>68</v>
      </c>
    </row>
    <row r="39" spans="1:23" x14ac:dyDescent="0.35">
      <c r="A39" s="24" t="s">
        <v>2</v>
      </c>
      <c r="B39" s="3">
        <v>1044</v>
      </c>
      <c r="C39" s="3">
        <v>1044</v>
      </c>
      <c r="D39" s="3"/>
      <c r="E39" s="4"/>
      <c r="F39" s="4">
        <f>D39+E39</f>
        <v>0</v>
      </c>
      <c r="G39" s="3">
        <f t="shared" ref="G39:G57" si="6">C39-F39</f>
        <v>1044</v>
      </c>
      <c r="H39" s="3">
        <f>G39/228*3</f>
        <v>13.736842105263158</v>
      </c>
      <c r="I39" s="3">
        <f>G39-H39</f>
        <v>1030.2631578947369</v>
      </c>
      <c r="J39" s="3">
        <f>I39/0.75</f>
        <v>1373.6842105263158</v>
      </c>
      <c r="K39" s="25">
        <f>G39*0.97/0.75</f>
        <v>1350.24</v>
      </c>
      <c r="L39">
        <v>45</v>
      </c>
      <c r="M39">
        <f>L39*K39</f>
        <v>60760.800000000003</v>
      </c>
      <c r="N39" s="24" t="s">
        <v>2</v>
      </c>
      <c r="O39" s="4">
        <v>1373.6842105263158</v>
      </c>
      <c r="P39" s="3"/>
      <c r="U39" s="43" t="e">
        <f>O39-#REF!</f>
        <v>#REF!</v>
      </c>
      <c r="W39">
        <v>90</v>
      </c>
    </row>
    <row r="40" spans="1:23" x14ac:dyDescent="0.35">
      <c r="A40" s="26" t="s">
        <v>3</v>
      </c>
      <c r="B40" s="3">
        <v>684</v>
      </c>
      <c r="C40" s="3">
        <v>684</v>
      </c>
      <c r="D40" s="3"/>
      <c r="E40" s="4"/>
      <c r="F40" s="4">
        <f t="shared" ref="F40:F57" si="7">D40+E40</f>
        <v>0</v>
      </c>
      <c r="G40" s="3">
        <f t="shared" si="6"/>
        <v>684</v>
      </c>
      <c r="H40" s="3">
        <f t="shared" ref="H40:H57" si="8">G40/228*3</f>
        <v>9</v>
      </c>
      <c r="I40" s="3">
        <f t="shared" ref="I40:I57" si="9">G40-H40</f>
        <v>675</v>
      </c>
      <c r="J40" s="3">
        <f t="shared" ref="J40:J57" si="10">I40/0.75</f>
        <v>900</v>
      </c>
      <c r="K40" s="25">
        <f>G40*0.97/0.75</f>
        <v>884.64</v>
      </c>
      <c r="L40">
        <v>37</v>
      </c>
      <c r="M40">
        <f t="shared" ref="M40:M57" si="11">L40*K40</f>
        <v>32731.68</v>
      </c>
      <c r="N40" s="26" t="s">
        <v>3</v>
      </c>
      <c r="O40" s="4">
        <v>900</v>
      </c>
      <c r="P40" s="3"/>
      <c r="U40" s="8" t="e">
        <f>O40-#REF!</f>
        <v>#REF!</v>
      </c>
    </row>
    <row r="41" spans="1:23" x14ac:dyDescent="0.35">
      <c r="A41" s="44" t="s">
        <v>4</v>
      </c>
      <c r="B41" s="3">
        <v>2056</v>
      </c>
      <c r="C41" s="3">
        <v>2056</v>
      </c>
      <c r="D41" s="27"/>
      <c r="E41" s="12"/>
      <c r="F41" s="4">
        <f t="shared" si="7"/>
        <v>0</v>
      </c>
      <c r="G41" s="3">
        <f t="shared" si="6"/>
        <v>2056</v>
      </c>
      <c r="H41" s="3">
        <f t="shared" si="8"/>
        <v>27.05263157894737</v>
      </c>
      <c r="I41" s="3">
        <f t="shared" si="9"/>
        <v>2028.9473684210527</v>
      </c>
      <c r="J41" s="3">
        <f t="shared" si="10"/>
        <v>2705.2631578947371</v>
      </c>
      <c r="K41" s="25">
        <f>G41*0.97/0.75</f>
        <v>2659.0933333333332</v>
      </c>
      <c r="L41">
        <v>15</v>
      </c>
      <c r="M41">
        <f t="shared" si="11"/>
        <v>39886.400000000001</v>
      </c>
      <c r="N41" s="26" t="s">
        <v>4</v>
      </c>
      <c r="O41" s="4">
        <v>1913.1578947368423</v>
      </c>
      <c r="P41" s="3"/>
      <c r="U41" s="8" t="e">
        <f>O41-#REF!</f>
        <v>#REF!</v>
      </c>
    </row>
    <row r="42" spans="1:23" x14ac:dyDescent="0.35">
      <c r="A42" s="26" t="s">
        <v>111</v>
      </c>
      <c r="B42" s="3">
        <v>478</v>
      </c>
      <c r="C42" s="3">
        <v>478</v>
      </c>
      <c r="D42" s="3"/>
      <c r="E42" s="4"/>
      <c r="F42" s="4">
        <f t="shared" si="7"/>
        <v>0</v>
      </c>
      <c r="G42" s="3">
        <f t="shared" si="6"/>
        <v>478</v>
      </c>
      <c r="H42" s="3">
        <f t="shared" si="8"/>
        <v>6.2894736842105265</v>
      </c>
      <c r="I42" s="3">
        <f t="shared" si="9"/>
        <v>471.71052631578948</v>
      </c>
      <c r="J42" s="3">
        <f t="shared" si="10"/>
        <v>628.9473684210526</v>
      </c>
      <c r="K42" s="25">
        <f>G42*0.97/0.75</f>
        <v>618.21333333333325</v>
      </c>
      <c r="L42">
        <v>56</v>
      </c>
      <c r="M42">
        <f t="shared" si="11"/>
        <v>34619.946666666663</v>
      </c>
      <c r="N42" s="26" t="s">
        <v>111</v>
      </c>
      <c r="O42" s="4">
        <v>628.9473684210526</v>
      </c>
      <c r="P42" s="3"/>
      <c r="U42" s="8" t="e">
        <f>O42-#REF!</f>
        <v>#REF!</v>
      </c>
    </row>
    <row r="43" spans="1:23" x14ac:dyDescent="0.35">
      <c r="A43" s="44" t="s">
        <v>7</v>
      </c>
      <c r="B43" s="3">
        <v>856</v>
      </c>
      <c r="C43" s="3">
        <v>856</v>
      </c>
      <c r="D43" s="3"/>
      <c r="E43" s="4"/>
      <c r="F43" s="4">
        <f t="shared" si="7"/>
        <v>0</v>
      </c>
      <c r="G43" s="3">
        <f t="shared" si="6"/>
        <v>856</v>
      </c>
      <c r="H43" s="3">
        <f t="shared" si="8"/>
        <v>11.263157894736842</v>
      </c>
      <c r="I43" s="3">
        <f t="shared" si="9"/>
        <v>844.73684210526312</v>
      </c>
      <c r="J43" s="40">
        <f t="shared" si="10"/>
        <v>1126.3157894736842</v>
      </c>
      <c r="K43" s="28">
        <f>G43*0.88/0.75</f>
        <v>1004.3733333333333</v>
      </c>
      <c r="L43">
        <v>215</v>
      </c>
      <c r="M43">
        <f t="shared" si="11"/>
        <v>215940.26666666666</v>
      </c>
      <c r="N43" s="26" t="s">
        <v>7</v>
      </c>
      <c r="O43" s="47">
        <v>1126.3157894736842</v>
      </c>
      <c r="P43" s="3">
        <v>1004</v>
      </c>
      <c r="U43" s="8" t="e">
        <f>O43-#REF!</f>
        <v>#REF!</v>
      </c>
      <c r="V43" t="s">
        <v>70</v>
      </c>
    </row>
    <row r="44" spans="1:23" x14ac:dyDescent="0.35">
      <c r="A44" s="26" t="s">
        <v>8</v>
      </c>
      <c r="B44" s="3">
        <v>1028</v>
      </c>
      <c r="C44" s="3">
        <v>1028</v>
      </c>
      <c r="D44" s="3"/>
      <c r="E44" s="4"/>
      <c r="F44" s="4">
        <f t="shared" si="7"/>
        <v>0</v>
      </c>
      <c r="G44" s="3">
        <f t="shared" si="6"/>
        <v>1028</v>
      </c>
      <c r="H44" s="3">
        <f t="shared" si="8"/>
        <v>13.526315789473685</v>
      </c>
      <c r="I44" s="3">
        <f t="shared" si="9"/>
        <v>1014.4736842105264</v>
      </c>
      <c r="J44" s="40">
        <f t="shared" si="10"/>
        <v>1352.6315789473686</v>
      </c>
      <c r="K44" s="28">
        <f>G44*0.88/0.75</f>
        <v>1206.1866666666667</v>
      </c>
      <c r="L44">
        <v>22</v>
      </c>
      <c r="M44">
        <f t="shared" si="11"/>
        <v>26536.106666666667</v>
      </c>
      <c r="N44" s="26" t="s">
        <v>8</v>
      </c>
      <c r="O44" s="47">
        <v>1352.6315789473686</v>
      </c>
      <c r="P44" s="3">
        <v>1206</v>
      </c>
      <c r="U44" s="8" t="e">
        <f>O44-#REF!</f>
        <v>#REF!</v>
      </c>
      <c r="V44" t="s">
        <v>70</v>
      </c>
    </row>
    <row r="45" spans="1:23" x14ac:dyDescent="0.35">
      <c r="A45" s="44" t="s">
        <v>9</v>
      </c>
      <c r="B45" s="3">
        <v>5012</v>
      </c>
      <c r="C45" s="3">
        <v>5012</v>
      </c>
      <c r="D45" s="50">
        <v>200</v>
      </c>
      <c r="E45" s="12">
        <v>251</v>
      </c>
      <c r="F45" s="4">
        <f t="shared" si="7"/>
        <v>451</v>
      </c>
      <c r="G45" s="3">
        <f t="shared" si="6"/>
        <v>4561</v>
      </c>
      <c r="H45" s="3">
        <f t="shared" si="8"/>
        <v>60.013157894736842</v>
      </c>
      <c r="I45" s="3">
        <f t="shared" si="9"/>
        <v>4500.9868421052633</v>
      </c>
      <c r="J45" s="3">
        <f t="shared" si="10"/>
        <v>6001.3157894736842</v>
      </c>
      <c r="K45" s="25">
        <f t="shared" ref="K45:K51" si="12">G45*0.97/0.75</f>
        <v>5898.8933333333334</v>
      </c>
      <c r="L45">
        <v>15.5</v>
      </c>
      <c r="M45">
        <f t="shared" si="11"/>
        <v>91432.846666666665</v>
      </c>
      <c r="N45" s="26" t="s">
        <v>9</v>
      </c>
      <c r="O45" s="4">
        <v>5994.7368421052633</v>
      </c>
      <c r="P45" s="3"/>
      <c r="U45" s="8" t="e">
        <f>O45-#REF!</f>
        <v>#REF!</v>
      </c>
    </row>
    <row r="46" spans="1:23" x14ac:dyDescent="0.35">
      <c r="A46" s="24" t="s">
        <v>10</v>
      </c>
      <c r="B46" s="3">
        <v>6200</v>
      </c>
      <c r="C46" s="3">
        <v>6200</v>
      </c>
      <c r="D46" s="27">
        <v>145</v>
      </c>
      <c r="E46" s="39"/>
      <c r="F46" s="4">
        <f t="shared" si="7"/>
        <v>145</v>
      </c>
      <c r="G46" s="3">
        <f t="shared" si="6"/>
        <v>6055</v>
      </c>
      <c r="H46" s="3">
        <f t="shared" si="8"/>
        <v>79.671052631578959</v>
      </c>
      <c r="I46" s="3">
        <f t="shared" si="9"/>
        <v>5975.3289473684208</v>
      </c>
      <c r="J46" s="3">
        <f t="shared" si="10"/>
        <v>7967.1052631578941</v>
      </c>
      <c r="K46" s="25">
        <f t="shared" si="12"/>
        <v>7831.1333333333323</v>
      </c>
      <c r="L46">
        <v>16</v>
      </c>
      <c r="M46">
        <f t="shared" si="11"/>
        <v>125298.13333333332</v>
      </c>
      <c r="N46" s="24" t="s">
        <v>10</v>
      </c>
      <c r="O46" s="4">
        <v>7765.78947368421</v>
      </c>
      <c r="P46" s="3"/>
      <c r="U46" s="43" t="e">
        <f>O46-#REF!</f>
        <v>#REF!</v>
      </c>
      <c r="W46">
        <v>500</v>
      </c>
    </row>
    <row r="47" spans="1:23" x14ac:dyDescent="0.35">
      <c r="A47" s="45" t="s">
        <v>11</v>
      </c>
      <c r="B47" s="3">
        <v>7438</v>
      </c>
      <c r="C47" s="3">
        <v>7438</v>
      </c>
      <c r="D47" s="27">
        <v>114</v>
      </c>
      <c r="E47" s="4"/>
      <c r="F47" s="4">
        <f t="shared" si="7"/>
        <v>114</v>
      </c>
      <c r="G47" s="3">
        <f t="shared" si="6"/>
        <v>7324</v>
      </c>
      <c r="H47" s="3">
        <f t="shared" si="8"/>
        <v>96.368421052631589</v>
      </c>
      <c r="I47" s="3">
        <f t="shared" si="9"/>
        <v>7227.6315789473683</v>
      </c>
      <c r="J47" s="3">
        <f t="shared" si="10"/>
        <v>9636.8421052631584</v>
      </c>
      <c r="K47" s="25">
        <f t="shared" si="12"/>
        <v>9472.373333333333</v>
      </c>
      <c r="L47">
        <v>14</v>
      </c>
      <c r="M47">
        <f t="shared" si="11"/>
        <v>132613.22666666665</v>
      </c>
      <c r="N47" s="6" t="s">
        <v>11</v>
      </c>
      <c r="O47" s="4">
        <v>9497.3684210526317</v>
      </c>
      <c r="P47" s="3"/>
      <c r="U47" s="8" t="e">
        <f>O47-#REF!</f>
        <v>#REF!</v>
      </c>
    </row>
    <row r="48" spans="1:23" x14ac:dyDescent="0.35">
      <c r="A48" s="45" t="s">
        <v>87</v>
      </c>
      <c r="B48" s="3"/>
      <c r="C48" s="3">
        <v>7438</v>
      </c>
      <c r="D48" s="27">
        <v>114</v>
      </c>
      <c r="E48" s="4"/>
      <c r="F48" s="4">
        <v>114</v>
      </c>
      <c r="G48" s="3">
        <f t="shared" si="6"/>
        <v>7324</v>
      </c>
      <c r="H48" s="3">
        <v>50</v>
      </c>
      <c r="I48" s="3">
        <f t="shared" si="9"/>
        <v>7274</v>
      </c>
      <c r="J48" s="3">
        <f t="shared" si="10"/>
        <v>9698.6666666666661</v>
      </c>
      <c r="K48" s="25">
        <f t="shared" si="12"/>
        <v>9472.373333333333</v>
      </c>
      <c r="N48" s="6"/>
      <c r="O48" s="4"/>
      <c r="P48" s="3"/>
      <c r="U48" s="8"/>
    </row>
    <row r="49" spans="1:22" x14ac:dyDescent="0.35">
      <c r="A49" s="26" t="s">
        <v>12</v>
      </c>
      <c r="B49" s="3">
        <v>478</v>
      </c>
      <c r="C49" s="3">
        <v>478</v>
      </c>
      <c r="D49" s="3"/>
      <c r="E49" s="4"/>
      <c r="F49" s="4">
        <f t="shared" si="7"/>
        <v>0</v>
      </c>
      <c r="G49" s="3">
        <f t="shared" si="6"/>
        <v>478</v>
      </c>
      <c r="H49" s="3">
        <f t="shared" si="8"/>
        <v>6.2894736842105265</v>
      </c>
      <c r="I49" s="3">
        <f t="shared" si="9"/>
        <v>471.71052631578948</v>
      </c>
      <c r="J49" s="3">
        <f t="shared" si="10"/>
        <v>628.9473684210526</v>
      </c>
      <c r="K49" s="25">
        <f t="shared" si="12"/>
        <v>618.21333333333325</v>
      </c>
      <c r="L49">
        <v>71</v>
      </c>
      <c r="M49">
        <f t="shared" si="11"/>
        <v>43893.14666666666</v>
      </c>
      <c r="N49" s="26" t="s">
        <v>12</v>
      </c>
      <c r="O49" s="4">
        <v>628.9473684210526</v>
      </c>
      <c r="P49" s="3"/>
      <c r="U49" s="8" t="e">
        <f>O49-#REF!</f>
        <v>#REF!</v>
      </c>
    </row>
    <row r="50" spans="1:22" x14ac:dyDescent="0.35">
      <c r="A50" s="44" t="s">
        <v>13</v>
      </c>
      <c r="B50" s="3">
        <v>250</v>
      </c>
      <c r="C50" s="3">
        <v>250</v>
      </c>
      <c r="D50" s="3"/>
      <c r="E50" s="4"/>
      <c r="F50" s="4">
        <f t="shared" si="7"/>
        <v>0</v>
      </c>
      <c r="G50" s="3">
        <f t="shared" si="6"/>
        <v>250</v>
      </c>
      <c r="H50" s="3">
        <f t="shared" si="8"/>
        <v>3.2894736842105265</v>
      </c>
      <c r="I50" s="3">
        <f t="shared" si="9"/>
        <v>246.71052631578948</v>
      </c>
      <c r="J50" s="3">
        <f t="shared" si="10"/>
        <v>328.94736842105266</v>
      </c>
      <c r="K50" s="25">
        <f t="shared" si="12"/>
        <v>323.33333333333331</v>
      </c>
      <c r="L50">
        <v>71</v>
      </c>
      <c r="M50">
        <f t="shared" si="11"/>
        <v>22956.666666666664</v>
      </c>
      <c r="N50" s="26" t="s">
        <v>13</v>
      </c>
      <c r="O50" s="4">
        <v>328.94736842105266</v>
      </c>
      <c r="P50" s="3"/>
      <c r="U50" s="8" t="e">
        <f>O50-#REF!</f>
        <v>#REF!</v>
      </c>
      <c r="V50" t="s">
        <v>70</v>
      </c>
    </row>
    <row r="51" spans="1:22" x14ac:dyDescent="0.35">
      <c r="A51" s="26" t="s">
        <v>14</v>
      </c>
      <c r="B51" s="3">
        <v>456</v>
      </c>
      <c r="C51" s="3">
        <v>456</v>
      </c>
      <c r="D51" s="3"/>
      <c r="E51" s="4"/>
      <c r="F51" s="4">
        <f t="shared" si="7"/>
        <v>0</v>
      </c>
      <c r="G51" s="3">
        <f t="shared" si="6"/>
        <v>456</v>
      </c>
      <c r="H51" s="3">
        <f t="shared" si="8"/>
        <v>6</v>
      </c>
      <c r="I51" s="3">
        <f t="shared" si="9"/>
        <v>450</v>
      </c>
      <c r="J51" s="3">
        <f t="shared" si="10"/>
        <v>600</v>
      </c>
      <c r="K51" s="25">
        <f t="shared" si="12"/>
        <v>589.76</v>
      </c>
      <c r="L51">
        <v>71</v>
      </c>
      <c r="M51">
        <f t="shared" si="11"/>
        <v>41872.959999999999</v>
      </c>
      <c r="N51" s="26" t="s">
        <v>14</v>
      </c>
      <c r="O51" s="4">
        <v>600</v>
      </c>
      <c r="P51" s="3"/>
      <c r="U51" s="8" t="e">
        <f>O51-#REF!</f>
        <v>#REF!</v>
      </c>
    </row>
    <row r="52" spans="1:22" x14ac:dyDescent="0.35">
      <c r="A52" s="26" t="s">
        <v>15</v>
      </c>
      <c r="B52" s="3">
        <v>1028</v>
      </c>
      <c r="C52" s="3">
        <v>1028</v>
      </c>
      <c r="D52" s="3"/>
      <c r="E52" s="4"/>
      <c r="F52" s="4">
        <f t="shared" si="7"/>
        <v>0</v>
      </c>
      <c r="G52" s="3">
        <f t="shared" si="6"/>
        <v>1028</v>
      </c>
      <c r="H52" s="3">
        <f t="shared" si="8"/>
        <v>13.526315789473685</v>
      </c>
      <c r="I52" s="3">
        <f t="shared" si="9"/>
        <v>1014.4736842105264</v>
      </c>
      <c r="J52" s="40">
        <f t="shared" si="10"/>
        <v>1352.6315789473686</v>
      </c>
      <c r="K52" s="28">
        <f>G52*0.88/0.75</f>
        <v>1206.1866666666667</v>
      </c>
      <c r="L52">
        <v>510</v>
      </c>
      <c r="M52">
        <f t="shared" si="11"/>
        <v>615155.20000000007</v>
      </c>
      <c r="N52" s="26" t="s">
        <v>15</v>
      </c>
      <c r="O52" s="47">
        <v>1352.6315789473686</v>
      </c>
      <c r="P52" s="3">
        <v>1206</v>
      </c>
      <c r="U52" s="8" t="e">
        <f>O52-#REF!</f>
        <v>#REF!</v>
      </c>
    </row>
    <row r="53" spans="1:22" x14ac:dyDescent="0.35">
      <c r="A53" s="26" t="s">
        <v>16</v>
      </c>
      <c r="B53" s="3">
        <v>0</v>
      </c>
      <c r="C53" s="3">
        <v>0</v>
      </c>
      <c r="D53" s="3"/>
      <c r="E53" s="4"/>
      <c r="F53" s="4">
        <f t="shared" si="7"/>
        <v>0</v>
      </c>
      <c r="G53" s="3">
        <f t="shared" si="6"/>
        <v>0</v>
      </c>
      <c r="H53" s="3">
        <f t="shared" si="8"/>
        <v>0</v>
      </c>
      <c r="I53" s="3">
        <f t="shared" si="9"/>
        <v>0</v>
      </c>
      <c r="J53" s="3">
        <f t="shared" si="10"/>
        <v>0</v>
      </c>
      <c r="K53" s="25">
        <f>G53*0.97/0.75</f>
        <v>0</v>
      </c>
      <c r="M53">
        <f t="shared" si="11"/>
        <v>0</v>
      </c>
      <c r="N53" s="26" t="s">
        <v>16</v>
      </c>
      <c r="O53" s="4">
        <v>0</v>
      </c>
      <c r="P53" s="3"/>
      <c r="U53" s="8" t="e">
        <f>O53-#REF!</f>
        <v>#REF!</v>
      </c>
    </row>
    <row r="54" spans="1:22" x14ac:dyDescent="0.35">
      <c r="A54" s="26" t="s">
        <v>17</v>
      </c>
      <c r="B54" s="3">
        <v>0</v>
      </c>
      <c r="C54" s="3">
        <v>0</v>
      </c>
      <c r="D54" s="3"/>
      <c r="E54" s="4"/>
      <c r="F54" s="4">
        <f t="shared" si="7"/>
        <v>0</v>
      </c>
      <c r="G54" s="3">
        <f t="shared" si="6"/>
        <v>0</v>
      </c>
      <c r="H54" s="3">
        <f t="shared" si="8"/>
        <v>0</v>
      </c>
      <c r="I54" s="3">
        <f t="shared" si="9"/>
        <v>0</v>
      </c>
      <c r="J54" s="3">
        <f t="shared" si="10"/>
        <v>0</v>
      </c>
      <c r="K54" s="25">
        <f>G54*0.97/0.75</f>
        <v>0</v>
      </c>
      <c r="M54">
        <f t="shared" si="11"/>
        <v>0</v>
      </c>
      <c r="N54" s="26" t="s">
        <v>17</v>
      </c>
      <c r="O54" s="4">
        <v>0</v>
      </c>
      <c r="P54" s="3"/>
      <c r="U54" s="8" t="e">
        <f>O54-#REF!</f>
        <v>#REF!</v>
      </c>
    </row>
    <row r="55" spans="1:22" x14ac:dyDescent="0.35">
      <c r="A55" s="44" t="s">
        <v>18</v>
      </c>
      <c r="B55" s="3">
        <v>1884</v>
      </c>
      <c r="C55" s="3">
        <v>1884</v>
      </c>
      <c r="D55" s="3"/>
      <c r="E55" s="4"/>
      <c r="F55" s="4">
        <f t="shared" si="7"/>
        <v>0</v>
      </c>
      <c r="G55" s="3">
        <f t="shared" si="6"/>
        <v>1884</v>
      </c>
      <c r="H55" s="3">
        <f t="shared" si="8"/>
        <v>24.789473684210527</v>
      </c>
      <c r="I55" s="3">
        <f t="shared" si="9"/>
        <v>1859.2105263157894</v>
      </c>
      <c r="J55" s="3">
        <f t="shared" si="10"/>
        <v>2478.9473684210525</v>
      </c>
      <c r="K55" s="25">
        <f>G55*0.97/0.75</f>
        <v>2436.64</v>
      </c>
      <c r="L55">
        <v>56</v>
      </c>
      <c r="M55">
        <f t="shared" si="11"/>
        <v>136451.84</v>
      </c>
      <c r="N55" s="26" t="s">
        <v>18</v>
      </c>
      <c r="O55" s="4">
        <v>2478.9473684210525</v>
      </c>
      <c r="P55" s="3"/>
      <c r="U55" s="8" t="e">
        <f>O55-#REF!</f>
        <v>#REF!</v>
      </c>
      <c r="V55" t="s">
        <v>70</v>
      </c>
    </row>
    <row r="56" spans="1:22" x14ac:dyDescent="0.35">
      <c r="A56" s="44" t="s">
        <v>19</v>
      </c>
      <c r="B56" s="3">
        <v>478</v>
      </c>
      <c r="C56" s="3">
        <v>478</v>
      </c>
      <c r="D56" s="3"/>
      <c r="E56" s="4"/>
      <c r="F56" s="4">
        <f t="shared" si="7"/>
        <v>0</v>
      </c>
      <c r="G56" s="3">
        <f t="shared" si="6"/>
        <v>478</v>
      </c>
      <c r="H56" s="3">
        <f t="shared" si="8"/>
        <v>6.2894736842105265</v>
      </c>
      <c r="I56" s="3">
        <f t="shared" si="9"/>
        <v>471.71052631578948</v>
      </c>
      <c r="J56" s="3">
        <f t="shared" si="10"/>
        <v>628.9473684210526</v>
      </c>
      <c r="K56" s="25">
        <f>G56*0.97/0.75</f>
        <v>618.21333333333325</v>
      </c>
      <c r="L56">
        <v>56</v>
      </c>
      <c r="M56">
        <f t="shared" si="11"/>
        <v>34619.946666666663</v>
      </c>
      <c r="N56" s="26" t="s">
        <v>19</v>
      </c>
      <c r="O56" s="4">
        <v>628.9473684210526</v>
      </c>
      <c r="P56" s="3"/>
      <c r="U56" s="8" t="e">
        <f>O56-#REF!</f>
        <v>#REF!</v>
      </c>
    </row>
    <row r="57" spans="1:22" x14ac:dyDescent="0.35">
      <c r="A57" s="26" t="s">
        <v>20</v>
      </c>
      <c r="B57" s="3">
        <v>350</v>
      </c>
      <c r="C57" s="3">
        <v>350</v>
      </c>
      <c r="D57" s="3"/>
      <c r="E57" s="4"/>
      <c r="F57" s="4">
        <f t="shared" si="7"/>
        <v>0</v>
      </c>
      <c r="G57" s="3">
        <f t="shared" si="6"/>
        <v>350</v>
      </c>
      <c r="H57" s="3">
        <f t="shared" si="8"/>
        <v>4.6052631578947372</v>
      </c>
      <c r="I57" s="3">
        <f t="shared" si="9"/>
        <v>345.39473684210526</v>
      </c>
      <c r="J57" s="3">
        <f t="shared" si="10"/>
        <v>460.5263157894737</v>
      </c>
      <c r="K57" s="25">
        <f>G57*0.97/0.75</f>
        <v>452.66666666666669</v>
      </c>
      <c r="L57">
        <v>56</v>
      </c>
      <c r="M57">
        <f t="shared" si="11"/>
        <v>25349.333333333336</v>
      </c>
      <c r="N57" s="26" t="s">
        <v>20</v>
      </c>
      <c r="O57" s="4">
        <v>460.5263157894737</v>
      </c>
      <c r="P57" s="3"/>
      <c r="U57" s="8" t="e">
        <f>O57-#REF!</f>
        <v>#REF!</v>
      </c>
    </row>
    <row r="58" spans="1:22" x14ac:dyDescent="0.35">
      <c r="K58" s="49">
        <f>SUM(K39:K57)</f>
        <v>46642.533333333333</v>
      </c>
      <c r="M58">
        <f>SUM(M39:M57)</f>
        <v>1680118.5</v>
      </c>
    </row>
    <row r="59" spans="1:22" x14ac:dyDescent="0.35">
      <c r="C59" s="2"/>
      <c r="H59" s="29" t="s">
        <v>80</v>
      </c>
      <c r="I59" s="29"/>
      <c r="J59" s="29"/>
    </row>
    <row r="60" spans="1:22" x14ac:dyDescent="0.35">
      <c r="C60" s="2"/>
      <c r="F60" t="s">
        <v>55</v>
      </c>
      <c r="H60" s="29" t="s">
        <v>56</v>
      </c>
      <c r="I60" s="29"/>
      <c r="J60" s="29"/>
      <c r="K60" t="s">
        <v>57</v>
      </c>
    </row>
    <row r="61" spans="1:22" x14ac:dyDescent="0.35">
      <c r="A61" s="11" t="s">
        <v>58</v>
      </c>
      <c r="C61" s="11">
        <f>D29</f>
        <v>5560</v>
      </c>
      <c r="D61" s="11">
        <v>180</v>
      </c>
      <c r="E61" s="11">
        <v>220</v>
      </c>
      <c r="F61" s="35">
        <f>F46</f>
        <v>145</v>
      </c>
      <c r="G61" s="11"/>
      <c r="H61" s="30">
        <v>280</v>
      </c>
      <c r="I61" s="31"/>
      <c r="J61" s="31"/>
      <c r="K61" s="32">
        <f>H61/C61</f>
        <v>5.0359712230215826E-2</v>
      </c>
    </row>
    <row r="62" spans="1:22" x14ac:dyDescent="0.35">
      <c r="A62" s="13" t="s">
        <v>59</v>
      </c>
      <c r="C62" s="13">
        <f>D27</f>
        <v>22290</v>
      </c>
      <c r="D62" s="13">
        <v>456</v>
      </c>
      <c r="E62" s="13">
        <v>1250</v>
      </c>
      <c r="F62" s="12">
        <f>F41+F45</f>
        <v>451</v>
      </c>
      <c r="G62" s="13"/>
      <c r="H62" s="30">
        <v>1600</v>
      </c>
      <c r="I62" s="31"/>
      <c r="J62" s="31"/>
      <c r="K62" s="32">
        <v>3.9946424794980846E-2</v>
      </c>
    </row>
    <row r="63" spans="1:22" x14ac:dyDescent="0.35">
      <c r="A63" s="38" t="s">
        <v>23</v>
      </c>
      <c r="C63" s="38">
        <f>D32</f>
        <v>7250</v>
      </c>
      <c r="D63" s="38">
        <v>220</v>
      </c>
      <c r="E63" s="38">
        <v>0</v>
      </c>
      <c r="F63" s="36">
        <f>F47</f>
        <v>114</v>
      </c>
      <c r="G63" s="38"/>
      <c r="H63" s="30">
        <v>114</v>
      </c>
      <c r="I63" s="31"/>
      <c r="J63" s="31"/>
      <c r="K63" s="32">
        <v>2.0102339181286549E-2</v>
      </c>
      <c r="L63" t="s">
        <v>85</v>
      </c>
    </row>
    <row r="69" spans="1:14" x14ac:dyDescent="0.35">
      <c r="A69" s="48" t="s">
        <v>81</v>
      </c>
      <c r="D69" t="s">
        <v>42</v>
      </c>
      <c r="E69" t="s">
        <v>71</v>
      </c>
      <c r="K69" t="s">
        <v>72</v>
      </c>
      <c r="N69" s="29" t="s">
        <v>67</v>
      </c>
    </row>
    <row r="70" spans="1:14" x14ac:dyDescent="0.35">
      <c r="A70">
        <v>2023</v>
      </c>
      <c r="C70" t="s">
        <v>27</v>
      </c>
      <c r="D70" t="s">
        <v>28</v>
      </c>
      <c r="E70" s="2" t="s">
        <v>1</v>
      </c>
      <c r="N70" s="42"/>
    </row>
    <row r="71" spans="1:14" x14ac:dyDescent="0.35">
      <c r="A71" s="16" t="s">
        <v>29</v>
      </c>
      <c r="B71" s="16"/>
      <c r="C71" s="3"/>
      <c r="D71" s="3">
        <v>2052</v>
      </c>
      <c r="E71" s="4">
        <f>(D71-(D71/228*3))*0.99/0.75</f>
        <v>2673</v>
      </c>
      <c r="K71" s="3">
        <v>579</v>
      </c>
      <c r="N71" s="46">
        <f>E71-K71</f>
        <v>2094</v>
      </c>
    </row>
    <row r="72" spans="1:14" x14ac:dyDescent="0.35">
      <c r="A72" s="16" t="s">
        <v>30</v>
      </c>
      <c r="B72" s="16"/>
      <c r="C72" s="3"/>
      <c r="D72" s="3">
        <v>2052</v>
      </c>
      <c r="E72" s="4">
        <f t="shared" ref="E72:E79" si="13">(D72-(D72/228*3))*0.99/0.75</f>
        <v>2673</v>
      </c>
      <c r="K72" s="3">
        <v>387</v>
      </c>
      <c r="N72" s="46">
        <f t="shared" ref="N72:N79" si="14">E72-K72</f>
        <v>2286</v>
      </c>
    </row>
    <row r="73" spans="1:14" x14ac:dyDescent="0.35">
      <c r="A73" s="16" t="s">
        <v>31</v>
      </c>
      <c r="B73" s="16"/>
      <c r="C73" s="3"/>
      <c r="D73" s="3">
        <v>3876</v>
      </c>
      <c r="E73" s="41">
        <f t="shared" si="13"/>
        <v>5049</v>
      </c>
      <c r="F73" s="19" t="s">
        <v>65</v>
      </c>
      <c r="K73" s="3">
        <v>5003</v>
      </c>
      <c r="N73" s="46">
        <f t="shared" si="14"/>
        <v>46</v>
      </c>
    </row>
    <row r="74" spans="1:14" x14ac:dyDescent="0.35">
      <c r="A74" s="16" t="s">
        <v>32</v>
      </c>
      <c r="B74" s="16"/>
      <c r="C74" s="3"/>
      <c r="D74" s="3">
        <v>684</v>
      </c>
      <c r="E74" s="4">
        <f t="shared" si="13"/>
        <v>891</v>
      </c>
      <c r="K74" s="3">
        <v>711</v>
      </c>
      <c r="N74" s="46">
        <f t="shared" si="14"/>
        <v>180</v>
      </c>
    </row>
    <row r="75" spans="1:14" x14ac:dyDescent="0.35">
      <c r="A75" s="16" t="s">
        <v>33</v>
      </c>
      <c r="B75" s="16"/>
      <c r="C75" s="3"/>
      <c r="D75" s="3">
        <v>684</v>
      </c>
      <c r="E75" s="4">
        <f t="shared" si="13"/>
        <v>891</v>
      </c>
      <c r="K75" s="3">
        <v>671</v>
      </c>
      <c r="N75" s="46">
        <f t="shared" si="14"/>
        <v>220</v>
      </c>
    </row>
    <row r="76" spans="1:14" x14ac:dyDescent="0.35">
      <c r="A76" s="16" t="s">
        <v>34</v>
      </c>
      <c r="B76" s="16"/>
      <c r="C76" s="3"/>
      <c r="D76" s="3">
        <v>1140</v>
      </c>
      <c r="E76" s="4">
        <f t="shared" si="13"/>
        <v>1485</v>
      </c>
      <c r="K76" s="3">
        <v>882</v>
      </c>
      <c r="N76" s="46">
        <f t="shared" si="14"/>
        <v>603</v>
      </c>
    </row>
    <row r="77" spans="1:14" x14ac:dyDescent="0.35">
      <c r="A77" s="3" t="s">
        <v>35</v>
      </c>
      <c r="B77" s="3"/>
      <c r="C77" s="3"/>
      <c r="D77" s="3">
        <v>912</v>
      </c>
      <c r="E77" s="4">
        <f t="shared" si="13"/>
        <v>1188</v>
      </c>
      <c r="K77" s="3">
        <v>861</v>
      </c>
      <c r="N77" s="46">
        <f t="shared" si="14"/>
        <v>327</v>
      </c>
    </row>
    <row r="78" spans="1:14" x14ac:dyDescent="0.35">
      <c r="A78" s="3" t="s">
        <v>36</v>
      </c>
      <c r="B78" s="3"/>
      <c r="C78" s="3"/>
      <c r="D78" s="3">
        <v>684</v>
      </c>
      <c r="E78" s="4">
        <f t="shared" si="13"/>
        <v>891</v>
      </c>
      <c r="K78" s="3">
        <v>426</v>
      </c>
      <c r="N78" s="46">
        <f t="shared" si="14"/>
        <v>465</v>
      </c>
    </row>
    <row r="79" spans="1:14" x14ac:dyDescent="0.35">
      <c r="A79" s="3" t="s">
        <v>37</v>
      </c>
      <c r="B79" s="3"/>
      <c r="C79" s="3">
        <v>5814</v>
      </c>
      <c r="D79" s="3">
        <f>C79-C82</f>
        <v>5277.06</v>
      </c>
      <c r="E79" s="41">
        <f t="shared" si="13"/>
        <v>6874.0649999999996</v>
      </c>
      <c r="F79" s="19" t="s">
        <v>66</v>
      </c>
      <c r="K79" s="3">
        <v>5480</v>
      </c>
      <c r="N79" s="46">
        <f t="shared" si="14"/>
        <v>1394.0649999999996</v>
      </c>
    </row>
    <row r="80" spans="1:14" x14ac:dyDescent="0.35">
      <c r="A80" s="17" t="s">
        <v>38</v>
      </c>
      <c r="B80" s="1"/>
      <c r="C80" s="1"/>
      <c r="D80" s="1">
        <f>D71+D72+D73+D74+D75+D76+D77+D78+C79</f>
        <v>17898</v>
      </c>
      <c r="N80" s="29"/>
    </row>
    <row r="81" spans="1:9" x14ac:dyDescent="0.35">
      <c r="C81" s="18">
        <v>0.03</v>
      </c>
    </row>
    <row r="82" spans="1:9" x14ac:dyDescent="0.35">
      <c r="A82" s="1" t="s">
        <v>39</v>
      </c>
      <c r="B82" s="1"/>
      <c r="C82" s="1">
        <f>D80*0.03</f>
        <v>536.93999999999994</v>
      </c>
      <c r="D82" s="1" t="s">
        <v>40</v>
      </c>
      <c r="E82" t="s">
        <v>41</v>
      </c>
    </row>
    <row r="83" spans="1:9" x14ac:dyDescent="0.35">
      <c r="B83" t="s">
        <v>60</v>
      </c>
    </row>
    <row r="86" spans="1:9" x14ac:dyDescent="0.35">
      <c r="B86" t="s">
        <v>92</v>
      </c>
      <c r="G86" t="s">
        <v>99</v>
      </c>
    </row>
    <row r="87" spans="1:9" x14ac:dyDescent="0.35">
      <c r="B87" t="s">
        <v>91</v>
      </c>
      <c r="C87" t="s">
        <v>93</v>
      </c>
      <c r="D87" t="s">
        <v>94</v>
      </c>
      <c r="E87" t="s">
        <v>95</v>
      </c>
      <c r="F87" t="s">
        <v>96</v>
      </c>
      <c r="G87" t="s">
        <v>97</v>
      </c>
      <c r="H87" t="s">
        <v>98</v>
      </c>
      <c r="I87" t="s">
        <v>100</v>
      </c>
    </row>
    <row r="88" spans="1:9" x14ac:dyDescent="0.35">
      <c r="A88" s="24" t="s">
        <v>2</v>
      </c>
      <c r="B88">
        <v>1030.2631578947369</v>
      </c>
      <c r="C88" s="3">
        <f>B88/0.75</f>
        <v>1373.6842105263158</v>
      </c>
      <c r="D88" s="3">
        <v>1320</v>
      </c>
      <c r="E88" s="4">
        <v>1198</v>
      </c>
      <c r="F88" s="4">
        <f>D88-E88</f>
        <v>122</v>
      </c>
      <c r="G88" s="3"/>
      <c r="H88" s="3"/>
      <c r="I88" s="47">
        <f>F88-G88-H88</f>
        <v>122</v>
      </c>
    </row>
    <row r="89" spans="1:9" x14ac:dyDescent="0.35">
      <c r="A89" s="26" t="s">
        <v>3</v>
      </c>
      <c r="B89">
        <v>675</v>
      </c>
      <c r="C89" s="3">
        <f t="shared" ref="C89:C105" si="15">B89/0.75</f>
        <v>900</v>
      </c>
      <c r="D89" s="3">
        <v>850</v>
      </c>
      <c r="E89" s="4">
        <v>723</v>
      </c>
      <c r="F89" s="4">
        <f t="shared" ref="F89:F105" si="16">D89-E89</f>
        <v>127</v>
      </c>
      <c r="G89" s="3">
        <v>60</v>
      </c>
      <c r="H89" s="3">
        <v>36</v>
      </c>
      <c r="I89" s="47">
        <f t="shared" ref="I89:I105" si="17">F89-G89-H89</f>
        <v>31</v>
      </c>
    </row>
    <row r="90" spans="1:9" x14ac:dyDescent="0.35">
      <c r="A90" s="44" t="s">
        <v>4</v>
      </c>
      <c r="B90">
        <v>2028.9473684210527</v>
      </c>
      <c r="C90" s="3">
        <f t="shared" si="15"/>
        <v>2705.2631578947371</v>
      </c>
      <c r="D90" s="27">
        <v>2650</v>
      </c>
      <c r="E90" s="12">
        <v>2066</v>
      </c>
      <c r="F90" s="4">
        <f t="shared" si="16"/>
        <v>584</v>
      </c>
      <c r="G90" s="3"/>
      <c r="H90" s="3"/>
      <c r="I90" s="47">
        <f t="shared" si="17"/>
        <v>584</v>
      </c>
    </row>
    <row r="91" spans="1:9" x14ac:dyDescent="0.35">
      <c r="A91" s="26" t="s">
        <v>6</v>
      </c>
      <c r="B91">
        <v>471.71052631578948</v>
      </c>
      <c r="C91" s="3">
        <f t="shared" si="15"/>
        <v>628.9473684210526</v>
      </c>
      <c r="D91" s="3">
        <v>600</v>
      </c>
      <c r="E91" s="4">
        <v>579</v>
      </c>
      <c r="F91" s="4">
        <f t="shared" si="16"/>
        <v>21</v>
      </c>
      <c r="G91" s="3"/>
      <c r="H91" s="3"/>
      <c r="I91" s="47">
        <f t="shared" si="17"/>
        <v>21</v>
      </c>
    </row>
    <row r="92" spans="1:9" x14ac:dyDescent="0.35">
      <c r="A92" s="44" t="s">
        <v>7</v>
      </c>
      <c r="B92">
        <v>844.73684210526312</v>
      </c>
      <c r="C92" s="3">
        <f t="shared" si="15"/>
        <v>1126.3157894736842</v>
      </c>
      <c r="D92" s="3">
        <v>1100</v>
      </c>
      <c r="E92" s="4">
        <v>1012</v>
      </c>
      <c r="F92" s="4">
        <f t="shared" si="16"/>
        <v>88</v>
      </c>
      <c r="G92" s="3">
        <v>12</v>
      </c>
      <c r="H92" s="3">
        <v>12</v>
      </c>
      <c r="I92" s="47">
        <f t="shared" si="17"/>
        <v>64</v>
      </c>
    </row>
    <row r="93" spans="1:9" x14ac:dyDescent="0.35">
      <c r="A93" s="26" t="s">
        <v>8</v>
      </c>
      <c r="B93">
        <v>1014.4736842105264</v>
      </c>
      <c r="C93" s="3">
        <f t="shared" si="15"/>
        <v>1352.6315789473686</v>
      </c>
      <c r="D93" s="3">
        <v>1320</v>
      </c>
      <c r="E93" s="4">
        <v>1135</v>
      </c>
      <c r="F93" s="4">
        <f t="shared" si="16"/>
        <v>185</v>
      </c>
      <c r="G93" s="3">
        <v>12</v>
      </c>
      <c r="H93" s="3">
        <v>12</v>
      </c>
      <c r="I93" s="47">
        <f t="shared" si="17"/>
        <v>161</v>
      </c>
    </row>
    <row r="94" spans="1:9" x14ac:dyDescent="0.35">
      <c r="A94" s="44" t="s">
        <v>9</v>
      </c>
      <c r="B94">
        <v>4500.9868421052633</v>
      </c>
      <c r="C94" s="3">
        <f t="shared" si="15"/>
        <v>6001.3157894736842</v>
      </c>
      <c r="D94" s="50">
        <v>5980</v>
      </c>
      <c r="E94" s="12">
        <v>5480</v>
      </c>
      <c r="F94" s="4">
        <f t="shared" si="16"/>
        <v>500</v>
      </c>
      <c r="G94" s="3"/>
      <c r="H94" s="3"/>
      <c r="I94" s="47">
        <f t="shared" si="17"/>
        <v>500</v>
      </c>
    </row>
    <row r="95" spans="1:9" x14ac:dyDescent="0.35">
      <c r="A95" s="24" t="s">
        <v>10</v>
      </c>
      <c r="B95">
        <v>5975.3289473684208</v>
      </c>
      <c r="C95" s="3">
        <f t="shared" si="15"/>
        <v>7967.1052631578941</v>
      </c>
      <c r="D95" s="27">
        <v>7948</v>
      </c>
      <c r="E95" s="39">
        <v>5394</v>
      </c>
      <c r="F95" s="4">
        <f t="shared" si="16"/>
        <v>2554</v>
      </c>
      <c r="G95" s="3">
        <v>300</v>
      </c>
      <c r="H95" s="3">
        <v>240</v>
      </c>
      <c r="I95" s="47">
        <f t="shared" si="17"/>
        <v>2014</v>
      </c>
    </row>
    <row r="96" spans="1:9" x14ac:dyDescent="0.35">
      <c r="A96" s="45" t="s">
        <v>11</v>
      </c>
      <c r="B96">
        <v>7227.6315789473683</v>
      </c>
      <c r="C96" s="3">
        <f t="shared" si="15"/>
        <v>9636.8421052631584</v>
      </c>
      <c r="D96" s="27">
        <v>9500</v>
      </c>
      <c r="E96" s="4">
        <v>8313</v>
      </c>
      <c r="F96" s="4">
        <f t="shared" si="16"/>
        <v>1187</v>
      </c>
      <c r="G96" s="3">
        <v>120</v>
      </c>
      <c r="H96" s="3"/>
      <c r="I96" s="47">
        <f t="shared" si="17"/>
        <v>1067</v>
      </c>
    </row>
    <row r="97" spans="1:9" x14ac:dyDescent="0.35">
      <c r="A97" s="26" t="s">
        <v>12</v>
      </c>
      <c r="B97">
        <v>471.71052631578948</v>
      </c>
      <c r="C97" s="3">
        <f t="shared" si="15"/>
        <v>628.9473684210526</v>
      </c>
      <c r="D97" s="3">
        <v>600</v>
      </c>
      <c r="E97" s="4">
        <v>571</v>
      </c>
      <c r="F97" s="4">
        <f t="shared" si="16"/>
        <v>29</v>
      </c>
      <c r="G97" s="3">
        <v>24</v>
      </c>
      <c r="H97" s="3"/>
      <c r="I97" s="47">
        <f t="shared" si="17"/>
        <v>5</v>
      </c>
    </row>
    <row r="98" spans="1:9" x14ac:dyDescent="0.35">
      <c r="A98" s="44" t="s">
        <v>13</v>
      </c>
      <c r="B98">
        <v>246.71052631578948</v>
      </c>
      <c r="C98" s="3">
        <f t="shared" si="15"/>
        <v>328.94736842105266</v>
      </c>
      <c r="D98" s="3">
        <v>300</v>
      </c>
      <c r="E98" s="4">
        <v>257</v>
      </c>
      <c r="F98" s="4">
        <f t="shared" si="16"/>
        <v>43</v>
      </c>
      <c r="G98" s="3"/>
      <c r="H98" s="3"/>
      <c r="I98" s="47">
        <f t="shared" si="17"/>
        <v>43</v>
      </c>
    </row>
    <row r="99" spans="1:9" x14ac:dyDescent="0.35">
      <c r="A99" s="26" t="s">
        <v>14</v>
      </c>
      <c r="B99">
        <v>450</v>
      </c>
      <c r="C99" s="3">
        <f t="shared" si="15"/>
        <v>600</v>
      </c>
      <c r="D99" s="3">
        <v>580</v>
      </c>
      <c r="E99" s="4">
        <v>566</v>
      </c>
      <c r="F99" s="4">
        <f t="shared" si="16"/>
        <v>14</v>
      </c>
      <c r="G99" s="3"/>
      <c r="H99" s="3"/>
      <c r="I99" s="47">
        <f t="shared" si="17"/>
        <v>14</v>
      </c>
    </row>
    <row r="100" spans="1:9" x14ac:dyDescent="0.35">
      <c r="A100" s="26" t="s">
        <v>15</v>
      </c>
      <c r="B100">
        <v>1014.4736842105264</v>
      </c>
      <c r="C100" s="3">
        <f t="shared" si="15"/>
        <v>1352.6315789473686</v>
      </c>
      <c r="D100" s="3">
        <v>1300</v>
      </c>
      <c r="E100" s="4">
        <v>1164</v>
      </c>
      <c r="F100" s="4">
        <f t="shared" si="16"/>
        <v>136</v>
      </c>
      <c r="G100" s="3">
        <v>12</v>
      </c>
      <c r="H100" s="3"/>
      <c r="I100" s="47">
        <f t="shared" si="17"/>
        <v>124</v>
      </c>
    </row>
    <row r="101" spans="1:9" x14ac:dyDescent="0.35">
      <c r="A101" s="26" t="s">
        <v>16</v>
      </c>
      <c r="B101">
        <v>0</v>
      </c>
      <c r="C101" s="3">
        <f t="shared" si="15"/>
        <v>0</v>
      </c>
      <c r="D101" s="3"/>
      <c r="E101" s="4"/>
      <c r="F101" s="4"/>
      <c r="G101" s="3"/>
      <c r="H101" s="3"/>
      <c r="I101" s="47">
        <f t="shared" si="17"/>
        <v>0</v>
      </c>
    </row>
    <row r="102" spans="1:9" x14ac:dyDescent="0.35">
      <c r="A102" s="26" t="s">
        <v>17</v>
      </c>
      <c r="B102">
        <v>0</v>
      </c>
      <c r="C102" s="3">
        <f t="shared" si="15"/>
        <v>0</v>
      </c>
      <c r="D102" s="3"/>
      <c r="E102" s="4"/>
      <c r="F102" s="4"/>
      <c r="G102" s="3"/>
      <c r="H102" s="3"/>
      <c r="I102" s="47">
        <f t="shared" si="17"/>
        <v>0</v>
      </c>
    </row>
    <row r="103" spans="1:9" x14ac:dyDescent="0.35">
      <c r="A103" s="44" t="s">
        <v>18</v>
      </c>
      <c r="B103">
        <v>1859.2105263157894</v>
      </c>
      <c r="C103" s="3">
        <f t="shared" si="15"/>
        <v>2478.9473684210525</v>
      </c>
      <c r="D103" s="3">
        <v>2400</v>
      </c>
      <c r="E103" s="4">
        <v>2277</v>
      </c>
      <c r="F103" s="4">
        <f t="shared" si="16"/>
        <v>123</v>
      </c>
      <c r="G103" s="3"/>
      <c r="H103" s="3"/>
      <c r="I103" s="47">
        <f t="shared" si="17"/>
        <v>123</v>
      </c>
    </row>
    <row r="104" spans="1:9" x14ac:dyDescent="0.35">
      <c r="A104" s="44" t="s">
        <v>19</v>
      </c>
      <c r="B104">
        <v>471.71052631578948</v>
      </c>
      <c r="C104" s="3">
        <f t="shared" si="15"/>
        <v>628.9473684210526</v>
      </c>
      <c r="D104" s="3">
        <v>600</v>
      </c>
      <c r="E104" s="4">
        <v>469</v>
      </c>
      <c r="F104" s="4">
        <f t="shared" si="16"/>
        <v>131</v>
      </c>
      <c r="G104" s="3">
        <v>60</v>
      </c>
      <c r="H104" s="3">
        <v>36</v>
      </c>
      <c r="I104" s="47">
        <f t="shared" si="17"/>
        <v>35</v>
      </c>
    </row>
    <row r="105" spans="1:9" x14ac:dyDescent="0.35">
      <c r="A105" s="26" t="s">
        <v>20</v>
      </c>
      <c r="B105">
        <v>345.39473684210526</v>
      </c>
      <c r="C105" s="3">
        <f t="shared" si="15"/>
        <v>460.5263157894737</v>
      </c>
      <c r="D105" s="3">
        <v>420</v>
      </c>
      <c r="E105" s="4">
        <v>399</v>
      </c>
      <c r="F105" s="4">
        <f t="shared" si="16"/>
        <v>21</v>
      </c>
      <c r="G105" s="3"/>
      <c r="H105" s="3"/>
      <c r="I105" s="47">
        <f t="shared" si="17"/>
        <v>21</v>
      </c>
    </row>
    <row r="106" spans="1:9" x14ac:dyDescent="0.35">
      <c r="G106">
        <f>SUM(G88:G105)</f>
        <v>600</v>
      </c>
      <c r="H106">
        <f>SUM(H88:H105)</f>
        <v>336</v>
      </c>
    </row>
  </sheetData>
  <mergeCells count="5">
    <mergeCell ref="G26:K26"/>
    <mergeCell ref="I4:K4"/>
    <mergeCell ref="O5:R5"/>
    <mergeCell ref="T5:W5"/>
    <mergeCell ref="B22:B24"/>
  </mergeCells>
  <pageMargins left="0.7" right="0.7" top="0.75" bottom="0.75" header="0.3" footer="0.3"/>
  <pageSetup paperSize="9" scale="30"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1C63DE-DDD3-4E96-A3C5-ACFA7449F225}">
  <dimension ref="A3:AA96"/>
  <sheetViews>
    <sheetView tabSelected="1" topLeftCell="A22" workbookViewId="0">
      <selection activeCell="AA53" sqref="AA53"/>
    </sheetView>
  </sheetViews>
  <sheetFormatPr baseColWidth="10" defaultRowHeight="14.5" x14ac:dyDescent="0.35"/>
  <cols>
    <col min="1" max="1" width="33.81640625" bestFit="1" customWidth="1"/>
    <col min="14" max="14" width="10.90625" customWidth="1"/>
    <col min="15" max="15" width="2.81640625" customWidth="1"/>
    <col min="16" max="24" width="10.90625" hidden="1" customWidth="1"/>
  </cols>
  <sheetData>
    <row r="3" spans="1:6" x14ac:dyDescent="0.35">
      <c r="B3" s="58">
        <v>2025</v>
      </c>
      <c r="C3" t="s">
        <v>108</v>
      </c>
    </row>
    <row r="4" spans="1:6" x14ac:dyDescent="0.35">
      <c r="A4" s="1"/>
      <c r="B4" s="58" t="s">
        <v>90</v>
      </c>
      <c r="C4">
        <v>2023</v>
      </c>
      <c r="D4" s="60">
        <v>2024</v>
      </c>
      <c r="E4" s="82">
        <v>2025</v>
      </c>
      <c r="F4" s="82"/>
    </row>
    <row r="5" spans="1:6" x14ac:dyDescent="0.35">
      <c r="A5">
        <v>2025</v>
      </c>
      <c r="B5" s="58" t="s">
        <v>1</v>
      </c>
      <c r="C5" s="3"/>
      <c r="D5" s="3"/>
      <c r="E5" s="57" t="s">
        <v>119</v>
      </c>
      <c r="F5" s="57" t="s">
        <v>120</v>
      </c>
    </row>
    <row r="6" spans="1:6" x14ac:dyDescent="0.35">
      <c r="A6" s="11" t="s">
        <v>2</v>
      </c>
      <c r="B6" s="59">
        <v>1497.621052631579</v>
      </c>
      <c r="C6" s="3">
        <v>2000</v>
      </c>
      <c r="D6" s="3">
        <v>1310</v>
      </c>
      <c r="E6" s="52">
        <v>14.322217758135803</v>
      </c>
      <c r="F6" s="52">
        <f>((B6/C6)-1)*100</f>
        <v>-25.11894736842105</v>
      </c>
    </row>
    <row r="7" spans="1:6" x14ac:dyDescent="0.35">
      <c r="A7" s="3" t="s">
        <v>3</v>
      </c>
      <c r="B7" s="59">
        <v>1327.2021052631578</v>
      </c>
      <c r="C7" s="3">
        <v>2006</v>
      </c>
      <c r="D7" s="3">
        <v>880</v>
      </c>
      <c r="E7" s="52">
        <v>50.818421052631571</v>
      </c>
      <c r="F7" s="52">
        <f t="shared" ref="F7:F23" si="0">((B7/C7)-1)*100</f>
        <v>-33.838379598047965</v>
      </c>
    </row>
    <row r="8" spans="1:6" x14ac:dyDescent="0.35">
      <c r="A8" s="3" t="s">
        <v>4</v>
      </c>
      <c r="B8" s="59">
        <v>5298.4800000000005</v>
      </c>
      <c r="C8" s="3">
        <v>4411</v>
      </c>
      <c r="D8" s="3">
        <v>2640</v>
      </c>
      <c r="E8" s="52">
        <v>100.70000000000002</v>
      </c>
      <c r="F8" s="52">
        <f t="shared" si="0"/>
        <v>20.119700748129677</v>
      </c>
    </row>
    <row r="9" spans="1:6" x14ac:dyDescent="0.35">
      <c r="A9" s="3" t="s">
        <v>111</v>
      </c>
      <c r="B9" s="59">
        <v>1327.2021052631578</v>
      </c>
      <c r="C9" s="3">
        <v>2527</v>
      </c>
      <c r="D9" s="3">
        <v>600</v>
      </c>
      <c r="E9" s="52">
        <v>121.20035087719296</v>
      </c>
      <c r="F9" s="52">
        <f t="shared" si="0"/>
        <v>-47.479141065961308</v>
      </c>
    </row>
    <row r="10" spans="1:6" x14ac:dyDescent="0.35">
      <c r="A10" s="3" t="s">
        <v>7</v>
      </c>
      <c r="B10" s="59">
        <v>1105.1410526315788</v>
      </c>
      <c r="C10" s="3">
        <v>3210</v>
      </c>
      <c r="D10" s="3">
        <v>980</v>
      </c>
      <c r="E10" s="52">
        <v>12.769495166487621</v>
      </c>
      <c r="F10" s="52">
        <f t="shared" si="0"/>
        <v>-65.571929824561408</v>
      </c>
    </row>
    <row r="11" spans="1:6" x14ac:dyDescent="0.35">
      <c r="A11" s="3" t="s">
        <v>8</v>
      </c>
      <c r="B11" s="59">
        <v>1843.623157894737</v>
      </c>
      <c r="C11" s="3">
        <v>3034</v>
      </c>
      <c r="D11" s="3">
        <v>1180</v>
      </c>
      <c r="E11" s="52">
        <v>56.239250669045518</v>
      </c>
      <c r="F11" s="52">
        <f t="shared" si="0"/>
        <v>-39.234569614543936</v>
      </c>
    </row>
    <row r="12" spans="1:6" x14ac:dyDescent="0.35">
      <c r="A12" s="3" t="s">
        <v>9</v>
      </c>
      <c r="B12" s="59">
        <v>6576.6221052631581</v>
      </c>
      <c r="C12" s="3">
        <v>14617</v>
      </c>
      <c r="D12" s="3">
        <v>5800</v>
      </c>
      <c r="E12" s="52">
        <v>13.390036297640663</v>
      </c>
      <c r="F12" s="52">
        <f t="shared" si="0"/>
        <v>-55.007032186747232</v>
      </c>
    </row>
    <row r="13" spans="1:6" x14ac:dyDescent="0.35">
      <c r="A13" s="11" t="s">
        <v>10</v>
      </c>
      <c r="B13" s="59">
        <v>5465.2839999999997</v>
      </c>
      <c r="C13" s="3">
        <v>6930</v>
      </c>
      <c r="D13" s="3">
        <v>7758</v>
      </c>
      <c r="E13" s="52">
        <v>-29.552926011858727</v>
      </c>
      <c r="F13" s="52">
        <f t="shared" si="0"/>
        <v>-21.13587301587302</v>
      </c>
    </row>
    <row r="14" spans="1:6" x14ac:dyDescent="0.35">
      <c r="A14" s="38" t="s">
        <v>11</v>
      </c>
      <c r="B14" s="59">
        <v>9079.3276315789462</v>
      </c>
      <c r="C14" s="3">
        <v>13800</v>
      </c>
      <c r="D14" s="3">
        <v>9562</v>
      </c>
      <c r="E14" s="52">
        <v>-5.0478181177688093</v>
      </c>
      <c r="F14" s="52">
        <f t="shared" si="0"/>
        <v>-34.207770785659811</v>
      </c>
    </row>
    <row r="15" spans="1:6" x14ac:dyDescent="0.35">
      <c r="A15" s="3" t="s">
        <v>12</v>
      </c>
      <c r="B15" s="59">
        <v>1105.1410526315788</v>
      </c>
      <c r="C15" s="3">
        <v>2092</v>
      </c>
      <c r="D15" s="3">
        <v>600</v>
      </c>
      <c r="E15" s="52">
        <v>84.190175438596455</v>
      </c>
      <c r="F15" s="52">
        <f t="shared" si="0"/>
        <v>-47.172989835966597</v>
      </c>
    </row>
    <row r="16" spans="1:6" x14ac:dyDescent="0.35">
      <c r="A16" s="3" t="s">
        <v>13</v>
      </c>
      <c r="B16" s="59">
        <v>322.76315789473682</v>
      </c>
      <c r="C16" s="3">
        <v>873</v>
      </c>
      <c r="D16" s="3">
        <v>300</v>
      </c>
      <c r="E16" s="52">
        <v>7.5877192982455988</v>
      </c>
      <c r="F16" s="52">
        <f t="shared" si="0"/>
        <v>-63.028275155242056</v>
      </c>
    </row>
    <row r="17" spans="1:26" x14ac:dyDescent="0.35">
      <c r="A17" s="3" t="s">
        <v>14</v>
      </c>
      <c r="B17" s="59">
        <v>516.42105263157885</v>
      </c>
      <c r="C17" s="3">
        <v>2259</v>
      </c>
      <c r="D17" s="3">
        <v>550</v>
      </c>
      <c r="E17" s="52">
        <v>-6.1052631578947576</v>
      </c>
      <c r="F17" s="52">
        <f t="shared" si="0"/>
        <v>-77.139395633838916</v>
      </c>
    </row>
    <row r="18" spans="1:26" x14ac:dyDescent="0.35">
      <c r="A18" s="3" t="s">
        <v>15</v>
      </c>
      <c r="B18" s="59">
        <v>1843.623157894737</v>
      </c>
      <c r="C18" s="3">
        <v>2326</v>
      </c>
      <c r="D18" s="3">
        <v>1180</v>
      </c>
      <c r="E18" s="52">
        <v>56.239250669045518</v>
      </c>
      <c r="F18" s="52">
        <f t="shared" si="0"/>
        <v>-20.738471285694882</v>
      </c>
    </row>
    <row r="19" spans="1:26" x14ac:dyDescent="0.35">
      <c r="A19" s="3" t="s">
        <v>16</v>
      </c>
      <c r="B19" s="59">
        <v>2367.7905263157895</v>
      </c>
      <c r="C19" s="3">
        <v>3129</v>
      </c>
      <c r="D19" s="3">
        <v>0</v>
      </c>
      <c r="E19" s="52"/>
      <c r="F19" s="52">
        <f t="shared" si="0"/>
        <v>-24.327563876133283</v>
      </c>
    </row>
    <row r="20" spans="1:26" x14ac:dyDescent="0.35">
      <c r="A20" s="3" t="s">
        <v>17</v>
      </c>
      <c r="B20" s="59">
        <v>0</v>
      </c>
      <c r="C20" s="3">
        <v>1488</v>
      </c>
      <c r="D20" s="3">
        <v>0</v>
      </c>
      <c r="E20" s="52">
        <v>0</v>
      </c>
      <c r="F20" s="52"/>
    </row>
    <row r="21" spans="1:26" x14ac:dyDescent="0.35">
      <c r="A21" s="3" t="s">
        <v>18</v>
      </c>
      <c r="B21" s="59">
        <v>2783.5094736842107</v>
      </c>
      <c r="C21" s="3">
        <v>6871</v>
      </c>
      <c r="D21" s="3">
        <v>2400</v>
      </c>
      <c r="E21" s="52">
        <v>15.979561403508779</v>
      </c>
      <c r="F21" s="52">
        <f t="shared" si="0"/>
        <v>-59.489019448636135</v>
      </c>
    </row>
    <row r="22" spans="1:26" x14ac:dyDescent="0.35">
      <c r="A22" s="3" t="s">
        <v>19</v>
      </c>
      <c r="B22" s="59">
        <v>839.18421052631572</v>
      </c>
      <c r="C22" s="3">
        <v>1988</v>
      </c>
      <c r="D22" s="3">
        <v>600</v>
      </c>
      <c r="E22" s="52">
        <v>39.864035087719294</v>
      </c>
      <c r="F22" s="52">
        <f t="shared" si="0"/>
        <v>-57.787514561050514</v>
      </c>
    </row>
    <row r="23" spans="1:26" x14ac:dyDescent="0.35">
      <c r="A23" s="3" t="s">
        <v>20</v>
      </c>
      <c r="B23" s="59">
        <v>1032.8421052631577</v>
      </c>
      <c r="C23" s="3">
        <v>2333</v>
      </c>
      <c r="D23" s="3">
        <v>420</v>
      </c>
      <c r="E23" s="52">
        <v>145.91478696741848</v>
      </c>
      <c r="F23" s="52">
        <f t="shared" si="0"/>
        <v>-55.729013919281712</v>
      </c>
    </row>
    <row r="27" spans="1:26" x14ac:dyDescent="0.35">
      <c r="M27" s="64"/>
    </row>
    <row r="31" spans="1:26" x14ac:dyDescent="0.35">
      <c r="A31" s="1"/>
      <c r="B31" s="1"/>
      <c r="C31" s="1"/>
      <c r="D31" s="1" t="s">
        <v>118</v>
      </c>
      <c r="F31" t="s">
        <v>124</v>
      </c>
      <c r="G31" s="61">
        <v>2025</v>
      </c>
      <c r="N31" t="s">
        <v>138</v>
      </c>
      <c r="P31" t="s">
        <v>138</v>
      </c>
    </row>
    <row r="32" spans="1:26" x14ac:dyDescent="0.35">
      <c r="A32" s="1"/>
      <c r="B32" s="1"/>
      <c r="C32" s="1" t="s">
        <v>25</v>
      </c>
      <c r="D32" t="s">
        <v>42</v>
      </c>
      <c r="F32" t="s">
        <v>42</v>
      </c>
      <c r="G32" s="61" t="s">
        <v>90</v>
      </c>
      <c r="O32" s="70"/>
      <c r="Z32" t="s">
        <v>157</v>
      </c>
    </row>
    <row r="33" spans="1:27" x14ac:dyDescent="0.35">
      <c r="A33">
        <v>2025</v>
      </c>
      <c r="B33" t="s">
        <v>117</v>
      </c>
      <c r="C33" t="s">
        <v>24</v>
      </c>
      <c r="D33" t="s">
        <v>28</v>
      </c>
      <c r="E33" t="s">
        <v>123</v>
      </c>
      <c r="F33" t="s">
        <v>28</v>
      </c>
      <c r="G33" s="61" t="s">
        <v>1</v>
      </c>
      <c r="H33" t="s">
        <v>125</v>
      </c>
      <c r="I33" t="s">
        <v>126</v>
      </c>
      <c r="J33" s="70"/>
      <c r="K33" t="s">
        <v>127</v>
      </c>
      <c r="L33" t="s">
        <v>128</v>
      </c>
      <c r="M33" t="s">
        <v>129</v>
      </c>
      <c r="N33" s="70" t="s">
        <v>130</v>
      </c>
      <c r="O33" s="70"/>
      <c r="P33" t="s">
        <v>131</v>
      </c>
      <c r="Q33" s="70"/>
      <c r="R33" t="s">
        <v>139</v>
      </c>
      <c r="S33" s="70" t="s">
        <v>132</v>
      </c>
      <c r="T33" s="70" t="s">
        <v>133</v>
      </c>
      <c r="U33" s="70" t="s">
        <v>134</v>
      </c>
      <c r="V33" s="70" t="s">
        <v>135</v>
      </c>
      <c r="W33" s="70" t="s">
        <v>136</v>
      </c>
      <c r="X33" s="70" t="s">
        <v>137</v>
      </c>
      <c r="Y33" t="s">
        <v>126</v>
      </c>
      <c r="Z33" s="70" t="s">
        <v>156</v>
      </c>
      <c r="AA33" s="70" t="s">
        <v>83</v>
      </c>
    </row>
    <row r="34" spans="1:27" s="64" customFormat="1" x14ac:dyDescent="0.35">
      <c r="A34" s="65" t="s">
        <v>2</v>
      </c>
      <c r="B34" s="65">
        <v>1172</v>
      </c>
      <c r="C34" s="65">
        <v>1160</v>
      </c>
      <c r="D34" s="65">
        <v>1160</v>
      </c>
      <c r="E34" s="64">
        <f>D34/228*3</f>
        <v>15.263157894736842</v>
      </c>
      <c r="F34" s="64">
        <f>D34-E34</f>
        <v>1144.7368421052631</v>
      </c>
      <c r="G34" s="66">
        <f>F34/0.75</f>
        <v>1526.3157894736842</v>
      </c>
      <c r="H34" s="65">
        <v>1389</v>
      </c>
      <c r="I34" s="67">
        <f t="shared" ref="I34:I42" si="1">G34-H34</f>
        <v>137.31578947368416</v>
      </c>
      <c r="J34" s="65"/>
      <c r="K34" s="65"/>
      <c r="L34" s="65"/>
      <c r="M34" s="65"/>
      <c r="N34" s="65"/>
      <c r="O34" s="65"/>
      <c r="P34" s="65"/>
      <c r="Q34" s="65"/>
      <c r="R34" s="65">
        <f>M56</f>
        <v>0</v>
      </c>
      <c r="S34" s="65"/>
      <c r="T34" s="65"/>
      <c r="U34" s="65"/>
      <c r="V34" s="65"/>
      <c r="W34" s="65"/>
      <c r="X34" s="65"/>
      <c r="Y34" s="39">
        <f>I34-J34-K34-L34-M34-N34-O34-P34-Q34-R34-S34-T34-U34-V34-W34-X34</f>
        <v>137.31578947368416</v>
      </c>
      <c r="Z34" s="64">
        <v>46</v>
      </c>
      <c r="AA34" s="88">
        <f>Z34*G34</f>
        <v>70210.526315789466</v>
      </c>
    </row>
    <row r="35" spans="1:27" x14ac:dyDescent="0.35">
      <c r="A35" s="3" t="s">
        <v>3</v>
      </c>
      <c r="B35" s="3">
        <v>1038</v>
      </c>
      <c r="C35" s="3">
        <v>1028</v>
      </c>
      <c r="D35" s="13">
        <v>1028</v>
      </c>
      <c r="E35">
        <f t="shared" ref="E35:E51" si="2">D35/228*3</f>
        <v>13.526315789473685</v>
      </c>
      <c r="F35">
        <f t="shared" ref="F35:F51" si="3">D35-E35</f>
        <v>1014.4736842105264</v>
      </c>
      <c r="G35" s="62">
        <f t="shared" ref="G35:G51" si="4">F35/0.75</f>
        <v>1352.6315789473686</v>
      </c>
      <c r="H35" s="3">
        <v>1113</v>
      </c>
      <c r="I35" s="63">
        <f t="shared" si="1"/>
        <v>239.63157894736855</v>
      </c>
      <c r="J35" s="3"/>
      <c r="K35" s="3">
        <v>60</v>
      </c>
      <c r="L35" s="3"/>
      <c r="M35" s="3"/>
      <c r="N35" s="3"/>
      <c r="O35" s="3"/>
      <c r="P35" s="3"/>
      <c r="Q35" s="3"/>
      <c r="R35" s="3">
        <f>M57</f>
        <v>0</v>
      </c>
      <c r="S35" s="3"/>
      <c r="T35" s="3"/>
      <c r="U35" s="3"/>
      <c r="V35" s="3"/>
      <c r="W35" s="3"/>
      <c r="X35" s="3"/>
      <c r="Y35" s="4">
        <f t="shared" ref="Y35:Y51" si="5">I35-J35-K35-L35-M35-N35-O35-P35-Q35-R35-S35-T35-U35-V35-W35-X35</f>
        <v>179.63157894736855</v>
      </c>
      <c r="Z35">
        <v>37</v>
      </c>
      <c r="AA35" s="88">
        <f t="shared" ref="AA35:AA51" si="6">Z35*G35</f>
        <v>50047.368421052633</v>
      </c>
    </row>
    <row r="36" spans="1:27" s="64" customFormat="1" x14ac:dyDescent="0.35">
      <c r="A36" s="65" t="s">
        <v>4</v>
      </c>
      <c r="B36" s="65">
        <v>4104</v>
      </c>
      <c r="C36" s="65">
        <v>4104</v>
      </c>
      <c r="D36" s="65">
        <f>C36-H54</f>
        <v>4104</v>
      </c>
      <c r="E36" s="64">
        <f t="shared" si="2"/>
        <v>54</v>
      </c>
      <c r="F36" s="64">
        <f t="shared" si="3"/>
        <v>4050</v>
      </c>
      <c r="G36" s="66">
        <f t="shared" si="4"/>
        <v>5400</v>
      </c>
      <c r="H36" s="65">
        <v>3756</v>
      </c>
      <c r="I36" s="67">
        <f t="shared" si="1"/>
        <v>1644</v>
      </c>
      <c r="J36" s="65"/>
      <c r="K36" s="65">
        <v>240</v>
      </c>
      <c r="L36" s="65"/>
      <c r="M36" s="65"/>
      <c r="N36" s="65"/>
      <c r="O36" s="65"/>
      <c r="P36" s="65"/>
      <c r="Q36" s="65"/>
      <c r="R36" s="65">
        <f t="shared" ref="R36:R51" si="7">M58</f>
        <v>0</v>
      </c>
      <c r="S36" s="65"/>
      <c r="T36" s="65"/>
      <c r="U36" s="65"/>
      <c r="V36" s="65"/>
      <c r="W36" s="65"/>
      <c r="X36" s="65"/>
      <c r="Y36" s="39">
        <f t="shared" si="5"/>
        <v>1404</v>
      </c>
      <c r="Z36" s="64">
        <v>13</v>
      </c>
      <c r="AA36" s="64">
        <f t="shared" si="6"/>
        <v>70200</v>
      </c>
    </row>
    <row r="37" spans="1:27" x14ac:dyDescent="0.35">
      <c r="A37" s="3" t="s">
        <v>111</v>
      </c>
      <c r="B37" s="3">
        <v>1038</v>
      </c>
      <c r="C37" s="3">
        <v>1028</v>
      </c>
      <c r="D37" s="13">
        <v>1028</v>
      </c>
      <c r="E37">
        <f t="shared" si="2"/>
        <v>13.526315789473685</v>
      </c>
      <c r="F37">
        <f t="shared" si="3"/>
        <v>1014.4736842105264</v>
      </c>
      <c r="G37" s="62">
        <f t="shared" si="4"/>
        <v>1352.6315789473686</v>
      </c>
      <c r="H37" s="3">
        <v>1317</v>
      </c>
      <c r="I37" s="63">
        <f t="shared" si="1"/>
        <v>35.631578947368553</v>
      </c>
      <c r="J37" s="3"/>
      <c r="K37" s="3"/>
      <c r="L37" s="3"/>
      <c r="M37" s="3"/>
      <c r="N37" s="3"/>
      <c r="O37" s="3"/>
      <c r="P37" s="3"/>
      <c r="Q37" s="3"/>
      <c r="R37" s="3">
        <f t="shared" si="7"/>
        <v>0</v>
      </c>
      <c r="S37" s="3"/>
      <c r="T37" s="3"/>
      <c r="U37" s="3"/>
      <c r="V37" s="3"/>
      <c r="W37" s="3"/>
      <c r="X37" s="3"/>
      <c r="Y37" s="4">
        <f t="shared" si="5"/>
        <v>35.631578947368553</v>
      </c>
      <c r="Z37">
        <v>58</v>
      </c>
      <c r="AA37" s="64">
        <f t="shared" si="6"/>
        <v>78452.631578947374</v>
      </c>
    </row>
    <row r="38" spans="1:27" s="72" customFormat="1" x14ac:dyDescent="0.35">
      <c r="A38" s="71" t="s">
        <v>7</v>
      </c>
      <c r="B38" s="71">
        <v>864</v>
      </c>
      <c r="C38" s="71">
        <v>856</v>
      </c>
      <c r="D38" s="71">
        <v>856</v>
      </c>
      <c r="E38" s="72">
        <f t="shared" si="2"/>
        <v>11.263157894736842</v>
      </c>
      <c r="F38" s="72">
        <f t="shared" si="3"/>
        <v>844.73684210526312</v>
      </c>
      <c r="G38" s="66">
        <f t="shared" si="4"/>
        <v>1126.3157894736842</v>
      </c>
      <c r="H38" s="73">
        <v>1058</v>
      </c>
      <c r="I38" s="74">
        <f t="shared" si="1"/>
        <v>68.315789473684163</v>
      </c>
      <c r="J38" s="71"/>
      <c r="K38" s="71">
        <v>6</v>
      </c>
      <c r="L38" s="71"/>
      <c r="M38" s="71">
        <v>24</v>
      </c>
      <c r="N38" s="71"/>
      <c r="O38" s="71"/>
      <c r="P38" s="71"/>
      <c r="Q38" s="71"/>
      <c r="R38" s="71">
        <f t="shared" si="7"/>
        <v>0</v>
      </c>
      <c r="S38" s="71"/>
      <c r="T38" s="71"/>
      <c r="U38" s="71"/>
      <c r="V38" s="71"/>
      <c r="W38" s="71"/>
      <c r="X38" s="71"/>
      <c r="Y38" s="75">
        <f t="shared" si="5"/>
        <v>38.315789473684163</v>
      </c>
      <c r="Z38" s="72">
        <v>220</v>
      </c>
      <c r="AA38" s="64">
        <f t="shared" si="6"/>
        <v>247789.4736842105</v>
      </c>
    </row>
    <row r="39" spans="1:27" s="22" customFormat="1" x14ac:dyDescent="0.35">
      <c r="A39" s="16" t="s">
        <v>8</v>
      </c>
      <c r="B39" s="16">
        <v>1442</v>
      </c>
      <c r="C39" s="16">
        <v>1428</v>
      </c>
      <c r="D39" s="76">
        <v>1428</v>
      </c>
      <c r="E39" s="22">
        <f t="shared" si="2"/>
        <v>18.789473684210527</v>
      </c>
      <c r="F39" s="22">
        <f t="shared" si="3"/>
        <v>1409.2105263157894</v>
      </c>
      <c r="G39" s="62">
        <f t="shared" si="4"/>
        <v>1878.9473684210525</v>
      </c>
      <c r="H39" s="16">
        <v>1420</v>
      </c>
      <c r="I39" s="77">
        <f t="shared" si="1"/>
        <v>458.94736842105249</v>
      </c>
      <c r="J39" s="16"/>
      <c r="K39" s="16">
        <v>18</v>
      </c>
      <c r="L39" s="16"/>
      <c r="M39" s="16">
        <v>30</v>
      </c>
      <c r="N39" s="16"/>
      <c r="O39" s="16"/>
      <c r="P39" s="16"/>
      <c r="Q39" s="16"/>
      <c r="R39" s="16">
        <f t="shared" si="7"/>
        <v>0</v>
      </c>
      <c r="S39" s="16"/>
      <c r="T39" s="16"/>
      <c r="U39" s="16"/>
      <c r="V39" s="16"/>
      <c r="W39" s="16"/>
      <c r="X39" s="16"/>
      <c r="Y39" s="52">
        <f t="shared" si="5"/>
        <v>410.94736842105249</v>
      </c>
      <c r="Z39" s="22">
        <v>225</v>
      </c>
      <c r="AA39" s="64">
        <f t="shared" si="6"/>
        <v>422763.1578947368</v>
      </c>
    </row>
    <row r="40" spans="1:27" s="64" customFormat="1" x14ac:dyDescent="0.35">
      <c r="A40" s="65" t="s">
        <v>9</v>
      </c>
      <c r="B40" s="65">
        <v>5472</v>
      </c>
      <c r="C40" s="65">
        <v>5472</v>
      </c>
      <c r="D40" s="65">
        <f>C40-152</f>
        <v>5320</v>
      </c>
      <c r="E40" s="64">
        <f t="shared" si="2"/>
        <v>70</v>
      </c>
      <c r="F40" s="64">
        <f t="shared" si="3"/>
        <v>5250</v>
      </c>
      <c r="G40" s="66">
        <f t="shared" si="4"/>
        <v>7000</v>
      </c>
      <c r="H40" s="65">
        <v>6534</v>
      </c>
      <c r="I40" s="67">
        <f t="shared" si="1"/>
        <v>466</v>
      </c>
      <c r="J40" s="65"/>
      <c r="K40" s="65"/>
      <c r="L40" s="65">
        <v>360</v>
      </c>
      <c r="M40" s="65"/>
      <c r="N40" s="65"/>
      <c r="O40" s="65"/>
      <c r="P40" s="65"/>
      <c r="Q40" s="65"/>
      <c r="R40" s="65">
        <f t="shared" si="7"/>
        <v>0</v>
      </c>
      <c r="S40" s="65"/>
      <c r="T40" s="65"/>
      <c r="U40" s="65"/>
      <c r="V40" s="65"/>
      <c r="W40" s="65"/>
      <c r="X40" s="65"/>
      <c r="Y40" s="39">
        <f t="shared" si="5"/>
        <v>106</v>
      </c>
      <c r="Z40" s="64">
        <v>15.5</v>
      </c>
      <c r="AA40" s="64">
        <f t="shared" si="6"/>
        <v>108500</v>
      </c>
    </row>
    <row r="41" spans="1:27" s="6" customFormat="1" x14ac:dyDescent="0.35">
      <c r="A41" s="78" t="s">
        <v>10</v>
      </c>
      <c r="B41" s="78">
        <v>4400</v>
      </c>
      <c r="C41" s="78">
        <v>4400</v>
      </c>
      <c r="D41" s="79">
        <f>C41-E56</f>
        <v>4400</v>
      </c>
      <c r="E41" s="6">
        <f t="shared" si="2"/>
        <v>57.894736842105267</v>
      </c>
      <c r="F41" s="6">
        <f t="shared" si="3"/>
        <v>4342.105263157895</v>
      </c>
      <c r="G41" s="80">
        <f t="shared" si="4"/>
        <v>5789.4736842105267</v>
      </c>
      <c r="H41" s="78">
        <v>5406</v>
      </c>
      <c r="I41" s="81">
        <f t="shared" si="1"/>
        <v>383.4736842105267</v>
      </c>
      <c r="J41" s="78"/>
      <c r="K41" s="78">
        <v>120</v>
      </c>
      <c r="L41" s="78"/>
      <c r="M41" s="78"/>
      <c r="N41" s="78"/>
      <c r="O41" s="78"/>
      <c r="P41" s="78"/>
      <c r="Q41" s="78"/>
      <c r="R41" s="78">
        <f t="shared" si="7"/>
        <v>0</v>
      </c>
      <c r="S41" s="78"/>
      <c r="T41" s="78"/>
      <c r="U41" s="78"/>
      <c r="V41" s="78"/>
      <c r="W41" s="78"/>
      <c r="X41" s="78"/>
      <c r="Y41" s="79">
        <f t="shared" si="5"/>
        <v>263.4736842105267</v>
      </c>
      <c r="Z41" s="6">
        <v>17</v>
      </c>
      <c r="AA41" s="64">
        <f t="shared" si="6"/>
        <v>98421.052631578961</v>
      </c>
    </row>
    <row r="42" spans="1:27" s="64" customFormat="1" x14ac:dyDescent="0.35">
      <c r="A42" s="65" t="s">
        <v>11</v>
      </c>
      <c r="B42" s="65">
        <v>7250</v>
      </c>
      <c r="C42" s="65">
        <v>7250</v>
      </c>
      <c r="D42" s="39">
        <f>C42-E59</f>
        <v>7250</v>
      </c>
      <c r="E42" s="64">
        <f t="shared" si="2"/>
        <v>95.39473684210526</v>
      </c>
      <c r="F42" s="64">
        <f t="shared" si="3"/>
        <v>7154.605263157895</v>
      </c>
      <c r="G42" s="66">
        <f t="shared" si="4"/>
        <v>9539.4736842105267</v>
      </c>
      <c r="H42" s="65">
        <v>8850</v>
      </c>
      <c r="I42" s="67">
        <f t="shared" si="1"/>
        <v>689.4736842105267</v>
      </c>
      <c r="J42" s="65"/>
      <c r="K42" s="65">
        <v>120</v>
      </c>
      <c r="L42" s="65">
        <v>300</v>
      </c>
      <c r="M42" s="65"/>
      <c r="N42" s="65"/>
      <c r="O42" s="65"/>
      <c r="P42" s="65"/>
      <c r="Q42" s="65"/>
      <c r="R42" s="65">
        <f t="shared" si="7"/>
        <v>0</v>
      </c>
      <c r="S42" s="65"/>
      <c r="T42" s="65"/>
      <c r="U42" s="65"/>
      <c r="V42" s="65"/>
      <c r="W42" s="65"/>
      <c r="X42" s="65"/>
      <c r="Y42" s="39">
        <f t="shared" si="5"/>
        <v>269.4736842105267</v>
      </c>
      <c r="Z42" s="64">
        <v>14</v>
      </c>
      <c r="AA42" s="64">
        <f t="shared" si="6"/>
        <v>133552.63157894736</v>
      </c>
    </row>
    <row r="43" spans="1:27" x14ac:dyDescent="0.35">
      <c r="A43" s="3" t="s">
        <v>12</v>
      </c>
      <c r="B43" s="3">
        <v>865</v>
      </c>
      <c r="C43" s="3">
        <v>856</v>
      </c>
      <c r="D43" s="3">
        <v>856</v>
      </c>
      <c r="E43">
        <f t="shared" si="2"/>
        <v>11.263157894736842</v>
      </c>
      <c r="F43">
        <f t="shared" si="3"/>
        <v>844.73684210526312</v>
      </c>
      <c r="G43" s="62">
        <f t="shared" si="4"/>
        <v>1126.3157894736842</v>
      </c>
      <c r="H43" s="3">
        <v>981</v>
      </c>
      <c r="I43" s="2">
        <f>G43-H43</f>
        <v>145.31578947368416</v>
      </c>
      <c r="J43" s="3"/>
      <c r="K43" s="3">
        <v>12</v>
      </c>
      <c r="L43" s="3">
        <v>60</v>
      </c>
      <c r="M43" s="3"/>
      <c r="N43" s="3"/>
      <c r="O43" s="3"/>
      <c r="P43" s="3"/>
      <c r="Q43" s="3"/>
      <c r="R43" s="3">
        <f t="shared" si="7"/>
        <v>0</v>
      </c>
      <c r="S43" s="3"/>
      <c r="T43" s="3"/>
      <c r="U43" s="3"/>
      <c r="V43" s="3"/>
      <c r="W43" s="3"/>
      <c r="X43" s="3"/>
      <c r="Y43" s="4">
        <f t="shared" si="5"/>
        <v>73.315789473684163</v>
      </c>
      <c r="Z43">
        <v>71</v>
      </c>
      <c r="AA43" s="88">
        <f t="shared" si="6"/>
        <v>79968.421052631573</v>
      </c>
    </row>
    <row r="44" spans="1:27" s="64" customFormat="1" x14ac:dyDescent="0.35">
      <c r="A44" s="65" t="s">
        <v>13</v>
      </c>
      <c r="B44" s="65">
        <v>252</v>
      </c>
      <c r="C44" s="65">
        <v>250</v>
      </c>
      <c r="D44" s="65">
        <v>250</v>
      </c>
      <c r="E44" s="64">
        <f t="shared" si="2"/>
        <v>3.2894736842105265</v>
      </c>
      <c r="F44" s="64">
        <f t="shared" si="3"/>
        <v>246.71052631578948</v>
      </c>
      <c r="G44" s="66">
        <f t="shared" si="4"/>
        <v>328.94736842105266</v>
      </c>
      <c r="H44" s="68">
        <v>288</v>
      </c>
      <c r="I44" s="67">
        <f t="shared" ref="I44:I51" si="8">G44-H44</f>
        <v>40.947368421052659</v>
      </c>
      <c r="J44" s="65"/>
      <c r="K44" s="65"/>
      <c r="L44" s="65"/>
      <c r="M44" s="65"/>
      <c r="N44" s="65"/>
      <c r="O44" s="65"/>
      <c r="P44" s="65"/>
      <c r="Q44" s="65"/>
      <c r="R44" s="65">
        <f t="shared" si="7"/>
        <v>0</v>
      </c>
      <c r="S44" s="65"/>
      <c r="T44" s="65"/>
      <c r="U44" s="65"/>
      <c r="V44" s="65"/>
      <c r="W44" s="65"/>
      <c r="X44" s="65"/>
      <c r="Y44" s="39">
        <f t="shared" si="5"/>
        <v>40.947368421052659</v>
      </c>
      <c r="Z44" s="64">
        <v>71</v>
      </c>
      <c r="AA44" s="64">
        <f t="shared" si="6"/>
        <v>23355.26315789474</v>
      </c>
    </row>
    <row r="45" spans="1:27" x14ac:dyDescent="0.35">
      <c r="A45" s="3" t="s">
        <v>14</v>
      </c>
      <c r="B45" s="3">
        <v>404</v>
      </c>
      <c r="C45" s="3">
        <v>400</v>
      </c>
      <c r="D45" s="3">
        <v>400</v>
      </c>
      <c r="E45">
        <f t="shared" si="2"/>
        <v>5.2631578947368416</v>
      </c>
      <c r="F45">
        <f t="shared" si="3"/>
        <v>394.73684210526318</v>
      </c>
      <c r="G45" s="62">
        <f t="shared" si="4"/>
        <v>526.31578947368428</v>
      </c>
      <c r="H45" s="69">
        <v>483</v>
      </c>
      <c r="I45" s="2">
        <f t="shared" si="8"/>
        <v>43.315789473684276</v>
      </c>
      <c r="J45" s="3"/>
      <c r="K45" s="3"/>
      <c r="L45" s="3">
        <v>42</v>
      </c>
      <c r="M45" s="3"/>
      <c r="N45" s="3"/>
      <c r="O45" s="3"/>
      <c r="P45" s="3"/>
      <c r="Q45" s="3"/>
      <c r="R45" s="3">
        <f t="shared" si="7"/>
        <v>0</v>
      </c>
      <c r="S45" s="3"/>
      <c r="T45" s="3"/>
      <c r="U45" s="3"/>
      <c r="V45" s="3"/>
      <c r="W45" s="3"/>
      <c r="X45" s="3"/>
      <c r="Y45" s="4">
        <f t="shared" si="5"/>
        <v>1.3157894736842763</v>
      </c>
      <c r="Z45" s="64">
        <v>71</v>
      </c>
      <c r="AA45" s="88">
        <f t="shared" si="6"/>
        <v>37368.42105263158</v>
      </c>
    </row>
    <row r="46" spans="1:27" s="72" customFormat="1" x14ac:dyDescent="0.35">
      <c r="A46" s="71" t="s">
        <v>15</v>
      </c>
      <c r="B46" s="71">
        <v>1442</v>
      </c>
      <c r="C46" s="71">
        <v>1428</v>
      </c>
      <c r="D46" s="71">
        <v>1428</v>
      </c>
      <c r="E46" s="72">
        <f t="shared" si="2"/>
        <v>18.789473684210527</v>
      </c>
      <c r="F46" s="72">
        <f t="shared" si="3"/>
        <v>1409.2105263157894</v>
      </c>
      <c r="G46" s="66">
        <f t="shared" si="4"/>
        <v>1878.9473684210525</v>
      </c>
      <c r="H46" s="71">
        <v>1424</v>
      </c>
      <c r="I46" s="74">
        <f t="shared" si="8"/>
        <v>454.94736842105249</v>
      </c>
      <c r="J46" s="71"/>
      <c r="K46" s="71">
        <v>6</v>
      </c>
      <c r="L46" s="71"/>
      <c r="M46" s="71">
        <v>30</v>
      </c>
      <c r="N46" s="71"/>
      <c r="O46" s="71"/>
      <c r="P46" s="71"/>
      <c r="Q46" s="71"/>
      <c r="R46" s="71">
        <f t="shared" si="7"/>
        <v>0</v>
      </c>
      <c r="S46" s="71"/>
      <c r="T46" s="71"/>
      <c r="U46" s="71"/>
      <c r="V46" s="71"/>
      <c r="W46" s="71"/>
      <c r="X46" s="71"/>
      <c r="Y46" s="75">
        <f t="shared" si="5"/>
        <v>418.94736842105249</v>
      </c>
      <c r="Z46" s="72">
        <v>530</v>
      </c>
      <c r="AA46" s="64">
        <f t="shared" si="6"/>
        <v>995842.10526315786</v>
      </c>
    </row>
    <row r="47" spans="1:27" x14ac:dyDescent="0.35">
      <c r="A47" s="3" t="s">
        <v>16</v>
      </c>
      <c r="B47" s="3">
        <v>1852</v>
      </c>
      <c r="C47" s="3">
        <v>1834</v>
      </c>
      <c r="D47" s="3">
        <v>1834</v>
      </c>
      <c r="E47">
        <f t="shared" si="2"/>
        <v>24.131578947368418</v>
      </c>
      <c r="F47">
        <f t="shared" si="3"/>
        <v>1809.8684210526317</v>
      </c>
      <c r="G47" s="62">
        <f t="shared" si="4"/>
        <v>2413.1578947368421</v>
      </c>
      <c r="H47" s="3">
        <v>2052</v>
      </c>
      <c r="I47" s="2">
        <f t="shared" si="8"/>
        <v>361.15789473684208</v>
      </c>
      <c r="J47" s="3"/>
      <c r="K47" s="3">
        <v>48</v>
      </c>
      <c r="L47" s="3">
        <v>60</v>
      </c>
      <c r="M47" s="3"/>
      <c r="N47" s="3"/>
      <c r="O47" s="3"/>
      <c r="P47" s="3"/>
      <c r="Q47" s="3"/>
      <c r="R47" s="3">
        <f t="shared" si="7"/>
        <v>0</v>
      </c>
      <c r="S47" s="3"/>
      <c r="T47" s="3"/>
      <c r="U47" s="3"/>
      <c r="V47" s="3"/>
      <c r="W47" s="3"/>
      <c r="X47" s="3"/>
      <c r="Y47" s="4">
        <f t="shared" si="5"/>
        <v>253.15789473684208</v>
      </c>
      <c r="Z47" s="64">
        <v>36</v>
      </c>
      <c r="AA47" s="64">
        <f t="shared" si="6"/>
        <v>86873.68421052632</v>
      </c>
    </row>
    <row r="48" spans="1:27" s="64" customFormat="1" x14ac:dyDescent="0.35">
      <c r="A48" s="65" t="s">
        <v>17</v>
      </c>
      <c r="B48" s="65">
        <v>303</v>
      </c>
      <c r="C48" s="65">
        <v>300</v>
      </c>
      <c r="D48" s="65">
        <v>0</v>
      </c>
      <c r="E48" s="64">
        <f t="shared" si="2"/>
        <v>0</v>
      </c>
      <c r="F48" s="64">
        <f t="shared" si="3"/>
        <v>0</v>
      </c>
      <c r="G48" s="66">
        <f t="shared" si="4"/>
        <v>0</v>
      </c>
      <c r="H48" s="65">
        <v>0</v>
      </c>
      <c r="I48" s="67">
        <f t="shared" si="8"/>
        <v>0</v>
      </c>
      <c r="J48" s="65"/>
      <c r="K48" s="65"/>
      <c r="L48" s="65"/>
      <c r="M48" s="65"/>
      <c r="N48" s="65"/>
      <c r="O48" s="65"/>
      <c r="P48" s="65"/>
      <c r="Q48" s="65"/>
      <c r="R48" s="65">
        <f t="shared" si="7"/>
        <v>0</v>
      </c>
      <c r="S48" s="65"/>
      <c r="T48" s="65"/>
      <c r="U48" s="65"/>
      <c r="V48" s="65"/>
      <c r="W48" s="65"/>
      <c r="X48" s="65"/>
      <c r="Y48" s="39">
        <f t="shared" si="5"/>
        <v>0</v>
      </c>
      <c r="Z48" s="64">
        <v>35</v>
      </c>
      <c r="AA48" s="64">
        <f t="shared" si="6"/>
        <v>0</v>
      </c>
    </row>
    <row r="49" spans="1:27" x14ac:dyDescent="0.35">
      <c r="A49" s="3" t="s">
        <v>18</v>
      </c>
      <c r="B49" s="83">
        <v>3643</v>
      </c>
      <c r="C49" s="3">
        <v>2156</v>
      </c>
      <c r="D49" s="3">
        <v>2156</v>
      </c>
      <c r="E49">
        <f t="shared" si="2"/>
        <v>28.368421052631582</v>
      </c>
      <c r="F49">
        <f t="shared" si="3"/>
        <v>2127.6315789473683</v>
      </c>
      <c r="G49" s="62">
        <f t="shared" si="4"/>
        <v>2836.8421052631579</v>
      </c>
      <c r="H49" s="3">
        <v>2610</v>
      </c>
      <c r="I49" s="63">
        <f t="shared" si="8"/>
        <v>226.84210526315792</v>
      </c>
      <c r="J49" s="3"/>
      <c r="K49" s="3"/>
      <c r="L49" s="3">
        <v>60</v>
      </c>
      <c r="M49" s="3"/>
      <c r="N49" s="3"/>
      <c r="O49" s="3"/>
      <c r="P49" s="3"/>
      <c r="Q49" s="3"/>
      <c r="R49" s="3">
        <f t="shared" si="7"/>
        <v>0</v>
      </c>
      <c r="S49" s="3"/>
      <c r="T49" s="3"/>
      <c r="U49" s="3"/>
      <c r="V49" s="3"/>
      <c r="W49" s="3"/>
      <c r="X49" s="3"/>
      <c r="Y49" s="4">
        <f t="shared" si="5"/>
        <v>166.84210526315792</v>
      </c>
      <c r="Z49" s="64">
        <v>59</v>
      </c>
      <c r="AA49" s="64">
        <f t="shared" si="6"/>
        <v>167373.68421052632</v>
      </c>
    </row>
    <row r="50" spans="1:27" s="64" customFormat="1" x14ac:dyDescent="0.35">
      <c r="A50" s="65" t="s">
        <v>19</v>
      </c>
      <c r="B50" s="84"/>
      <c r="C50" s="65">
        <v>650</v>
      </c>
      <c r="D50" s="65">
        <v>650</v>
      </c>
      <c r="E50" s="64">
        <f t="shared" si="2"/>
        <v>8.5526315789473699</v>
      </c>
      <c r="F50" s="64">
        <f t="shared" si="3"/>
        <v>641.4473684210526</v>
      </c>
      <c r="G50" s="66">
        <f t="shared" si="4"/>
        <v>855.26315789473676</v>
      </c>
      <c r="H50" s="65">
        <v>570</v>
      </c>
      <c r="I50" s="67">
        <f t="shared" si="8"/>
        <v>285.26315789473676</v>
      </c>
      <c r="J50" s="65"/>
      <c r="K50" s="65">
        <v>48</v>
      </c>
      <c r="L50" s="65">
        <v>48</v>
      </c>
      <c r="M50" s="65"/>
      <c r="N50" s="65"/>
      <c r="O50" s="65"/>
      <c r="P50" s="65"/>
      <c r="Q50" s="65"/>
      <c r="R50" s="65">
        <f t="shared" si="7"/>
        <v>0</v>
      </c>
      <c r="S50" s="65"/>
      <c r="T50" s="65"/>
      <c r="U50" s="65"/>
      <c r="V50" s="65"/>
      <c r="W50" s="65"/>
      <c r="X50" s="65"/>
      <c r="Y50" s="39">
        <f t="shared" si="5"/>
        <v>189.26315789473676</v>
      </c>
      <c r="Z50" s="64">
        <v>59</v>
      </c>
      <c r="AA50" s="64">
        <f t="shared" si="6"/>
        <v>50460.526315789466</v>
      </c>
    </row>
    <row r="51" spans="1:27" x14ac:dyDescent="0.35">
      <c r="A51" s="3" t="s">
        <v>20</v>
      </c>
      <c r="B51" s="85"/>
      <c r="C51" s="3">
        <v>800</v>
      </c>
      <c r="D51" s="13">
        <v>800</v>
      </c>
      <c r="E51">
        <f t="shared" si="2"/>
        <v>10.526315789473683</v>
      </c>
      <c r="F51">
        <f t="shared" si="3"/>
        <v>789.47368421052636</v>
      </c>
      <c r="G51" s="62">
        <f t="shared" si="4"/>
        <v>1052.6315789473686</v>
      </c>
      <c r="H51" s="3">
        <v>930</v>
      </c>
      <c r="I51" s="63">
        <f t="shared" si="8"/>
        <v>122.63157894736855</v>
      </c>
      <c r="J51" s="3"/>
      <c r="K51" s="3"/>
      <c r="L51" s="3"/>
      <c r="M51" s="3">
        <v>24</v>
      </c>
      <c r="N51" s="3"/>
      <c r="O51" s="3"/>
      <c r="P51" s="3"/>
      <c r="Q51" s="3"/>
      <c r="R51" s="3">
        <f t="shared" si="7"/>
        <v>0</v>
      </c>
      <c r="S51" s="3"/>
      <c r="T51" s="3"/>
      <c r="U51" s="3"/>
      <c r="V51" s="3"/>
      <c r="W51" s="3"/>
      <c r="X51" s="3"/>
      <c r="Y51" s="4">
        <f t="shared" si="5"/>
        <v>98.631578947368553</v>
      </c>
      <c r="Z51" s="64">
        <v>59</v>
      </c>
      <c r="AA51" s="64">
        <f t="shared" si="6"/>
        <v>62105.263157894748</v>
      </c>
    </row>
    <row r="52" spans="1:27" x14ac:dyDescent="0.35">
      <c r="AA52" s="64">
        <f>SUM(AA34:AA51)</f>
        <v>2783284.2105263164</v>
      </c>
    </row>
    <row r="53" spans="1:27" x14ac:dyDescent="0.35">
      <c r="S53" t="s">
        <v>152</v>
      </c>
      <c r="X53" t="s">
        <v>153</v>
      </c>
      <c r="AA53" s="88">
        <f>AA45+AA43+AA35+AA34</f>
        <v>237594.73684210525</v>
      </c>
    </row>
    <row r="55" spans="1:27" x14ac:dyDescent="0.35">
      <c r="B55" s="70" t="s">
        <v>140</v>
      </c>
      <c r="C55" s="70" t="s">
        <v>141</v>
      </c>
      <c r="D55" s="70" t="s">
        <v>142</v>
      </c>
      <c r="F55" t="s">
        <v>143</v>
      </c>
      <c r="G55" t="s">
        <v>145</v>
      </c>
      <c r="H55" s="70" t="s">
        <v>144</v>
      </c>
      <c r="I55" s="70" t="s">
        <v>146</v>
      </c>
      <c r="J55" t="s">
        <v>147</v>
      </c>
      <c r="K55" t="s">
        <v>98</v>
      </c>
      <c r="L55" s="70" t="s">
        <v>148</v>
      </c>
      <c r="M55" t="s">
        <v>149</v>
      </c>
    </row>
    <row r="56" spans="1:27" s="64" customFormat="1" x14ac:dyDescent="0.35">
      <c r="A56" s="65" t="s">
        <v>2</v>
      </c>
      <c r="B56" s="65"/>
      <c r="C56" s="65"/>
      <c r="D56" s="65"/>
      <c r="E56" s="65"/>
      <c r="F56" s="65"/>
      <c r="G56" s="65"/>
      <c r="H56" s="65"/>
      <c r="I56" s="65"/>
      <c r="J56" s="65"/>
      <c r="K56" s="65"/>
      <c r="L56" s="65"/>
      <c r="M56" s="65">
        <f>L56+K56+J56+I56+H56+G56+F56+E56+D56+C56+B56</f>
        <v>0</v>
      </c>
    </row>
    <row r="57" spans="1:27" x14ac:dyDescent="0.35">
      <c r="A57" s="3" t="s">
        <v>3</v>
      </c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>
        <f t="shared" ref="M57:M73" si="9">L57+K57+J57+I57+H57+G57+F57+E57+D57+C57+B57</f>
        <v>0</v>
      </c>
    </row>
    <row r="58" spans="1:27" s="64" customFormat="1" x14ac:dyDescent="0.35">
      <c r="A58" s="65" t="s">
        <v>4</v>
      </c>
      <c r="B58" s="65"/>
      <c r="C58" s="65"/>
      <c r="D58" s="65"/>
      <c r="E58" s="65"/>
      <c r="F58" s="65"/>
      <c r="G58" s="65"/>
      <c r="H58" s="65"/>
      <c r="I58" s="65"/>
      <c r="J58" s="65"/>
      <c r="K58" s="65"/>
      <c r="L58" s="65"/>
      <c r="M58" s="65">
        <f t="shared" si="9"/>
        <v>0</v>
      </c>
      <c r="R58" s="64" t="s">
        <v>151</v>
      </c>
    </row>
    <row r="59" spans="1:27" x14ac:dyDescent="0.35">
      <c r="A59" s="3" t="s">
        <v>111</v>
      </c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>
        <f t="shared" si="9"/>
        <v>0</v>
      </c>
    </row>
    <row r="60" spans="1:27" s="72" customFormat="1" x14ac:dyDescent="0.35">
      <c r="A60" s="71" t="s">
        <v>7</v>
      </c>
      <c r="B60" s="71"/>
      <c r="C60" s="71"/>
      <c r="D60" s="71"/>
      <c r="E60" s="71"/>
      <c r="F60" s="71"/>
      <c r="G60" s="71"/>
      <c r="H60" s="71"/>
      <c r="I60" s="71"/>
      <c r="J60" s="71"/>
      <c r="K60" s="71"/>
      <c r="L60" s="71"/>
      <c r="M60" s="71">
        <f t="shared" si="9"/>
        <v>0</v>
      </c>
      <c r="X60" s="72" t="s">
        <v>155</v>
      </c>
    </row>
    <row r="61" spans="1:27" s="22" customFormat="1" x14ac:dyDescent="0.35">
      <c r="A61" s="16" t="s">
        <v>8</v>
      </c>
      <c r="B61" s="16"/>
      <c r="C61" s="16"/>
      <c r="D61" s="16"/>
      <c r="E61" s="16"/>
      <c r="F61" s="16"/>
      <c r="G61" s="16"/>
      <c r="H61" s="16"/>
      <c r="I61" s="16"/>
      <c r="J61" s="16"/>
      <c r="K61" s="16"/>
      <c r="L61" s="16"/>
      <c r="M61" s="16">
        <f t="shared" si="9"/>
        <v>0</v>
      </c>
    </row>
    <row r="62" spans="1:27" s="64" customFormat="1" x14ac:dyDescent="0.35">
      <c r="A62" s="65" t="s">
        <v>9</v>
      </c>
      <c r="B62" s="65"/>
      <c r="C62" s="65"/>
      <c r="D62" s="65"/>
      <c r="E62" s="65"/>
      <c r="F62" s="65"/>
      <c r="G62" s="65"/>
      <c r="H62" s="65"/>
      <c r="I62" s="65"/>
      <c r="J62" s="65"/>
      <c r="K62" s="65"/>
      <c r="L62" s="65"/>
      <c r="M62" s="65">
        <f t="shared" si="9"/>
        <v>0</v>
      </c>
    </row>
    <row r="63" spans="1:27" x14ac:dyDescent="0.35">
      <c r="A63" s="11" t="s">
        <v>10</v>
      </c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>
        <f t="shared" si="9"/>
        <v>0</v>
      </c>
    </row>
    <row r="64" spans="1:27" s="64" customFormat="1" x14ac:dyDescent="0.35">
      <c r="A64" s="65" t="s">
        <v>11</v>
      </c>
      <c r="B64" s="65"/>
      <c r="C64" s="65"/>
      <c r="D64" s="65"/>
      <c r="E64" s="65"/>
      <c r="F64" s="65"/>
      <c r="G64" s="65"/>
      <c r="H64" s="65"/>
      <c r="I64" s="65"/>
      <c r="J64" s="65"/>
      <c r="K64" s="65"/>
      <c r="L64" s="65"/>
      <c r="M64" s="65">
        <f t="shared" si="9"/>
        <v>0</v>
      </c>
    </row>
    <row r="65" spans="1:13" x14ac:dyDescent="0.35">
      <c r="A65" s="3" t="s">
        <v>12</v>
      </c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>
        <f t="shared" si="9"/>
        <v>0</v>
      </c>
    </row>
    <row r="66" spans="1:13" s="64" customFormat="1" x14ac:dyDescent="0.35">
      <c r="A66" s="65" t="s">
        <v>13</v>
      </c>
      <c r="B66" s="65"/>
      <c r="C66" s="65"/>
      <c r="D66" s="65"/>
      <c r="E66" s="65"/>
      <c r="F66" s="65"/>
      <c r="G66" s="65"/>
      <c r="H66" s="65"/>
      <c r="I66" s="65"/>
      <c r="J66" s="65"/>
      <c r="K66" s="65"/>
      <c r="L66" s="65"/>
      <c r="M66" s="65">
        <f t="shared" si="9"/>
        <v>0</v>
      </c>
    </row>
    <row r="67" spans="1:13" x14ac:dyDescent="0.35">
      <c r="A67" s="3" t="s">
        <v>14</v>
      </c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>
        <f t="shared" si="9"/>
        <v>0</v>
      </c>
    </row>
    <row r="68" spans="1:13" s="72" customFormat="1" x14ac:dyDescent="0.35">
      <c r="A68" s="71" t="s">
        <v>15</v>
      </c>
      <c r="B68" s="71"/>
      <c r="C68" s="71"/>
      <c r="D68" s="71"/>
      <c r="E68" s="71"/>
      <c r="F68" s="71"/>
      <c r="G68" s="71"/>
      <c r="H68" s="71"/>
      <c r="I68" s="71"/>
      <c r="J68" s="71"/>
      <c r="K68" s="71"/>
      <c r="L68" s="71"/>
      <c r="M68" s="71">
        <f t="shared" si="9"/>
        <v>0</v>
      </c>
    </row>
    <row r="69" spans="1:13" x14ac:dyDescent="0.35">
      <c r="A69" s="3" t="s">
        <v>16</v>
      </c>
      <c r="B69" s="3"/>
      <c r="C69" s="3"/>
      <c r="D69" s="3"/>
      <c r="E69" s="3"/>
      <c r="F69" s="3"/>
      <c r="G69" s="3"/>
      <c r="H69" s="50"/>
      <c r="I69" s="3"/>
      <c r="J69" s="3"/>
      <c r="K69" s="3"/>
      <c r="L69" s="3"/>
      <c r="M69" s="3">
        <f t="shared" si="9"/>
        <v>0</v>
      </c>
    </row>
    <row r="70" spans="1:13" s="64" customFormat="1" x14ac:dyDescent="0.35">
      <c r="A70" s="65" t="s">
        <v>17</v>
      </c>
      <c r="B70" s="65"/>
      <c r="C70" s="65"/>
      <c r="D70" s="65"/>
      <c r="E70" s="65"/>
      <c r="F70" s="65"/>
      <c r="G70" s="65"/>
      <c r="H70" s="65"/>
      <c r="I70" s="65"/>
      <c r="J70" s="65"/>
      <c r="K70" s="65"/>
      <c r="L70" s="65"/>
      <c r="M70" s="65">
        <f t="shared" si="9"/>
        <v>0</v>
      </c>
    </row>
    <row r="71" spans="1:13" x14ac:dyDescent="0.35">
      <c r="A71" s="3" t="s">
        <v>18</v>
      </c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>
        <f t="shared" si="9"/>
        <v>0</v>
      </c>
    </row>
    <row r="72" spans="1:13" s="64" customFormat="1" x14ac:dyDescent="0.35">
      <c r="A72" s="65" t="s">
        <v>19</v>
      </c>
      <c r="B72" s="65"/>
      <c r="C72" s="65"/>
      <c r="D72" s="65"/>
      <c r="E72" s="65"/>
      <c r="F72" s="65"/>
      <c r="G72" s="65"/>
      <c r="H72" s="65"/>
      <c r="I72" s="65"/>
      <c r="J72" s="65"/>
      <c r="K72" s="65"/>
      <c r="L72" s="65"/>
      <c r="M72" s="65">
        <f t="shared" si="9"/>
        <v>0</v>
      </c>
    </row>
    <row r="73" spans="1:13" x14ac:dyDescent="0.35">
      <c r="A73" s="3" t="s">
        <v>20</v>
      </c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>
        <f t="shared" si="9"/>
        <v>0</v>
      </c>
    </row>
    <row r="75" spans="1:13" x14ac:dyDescent="0.35">
      <c r="G75" t="s">
        <v>152</v>
      </c>
    </row>
    <row r="76" spans="1:13" x14ac:dyDescent="0.35">
      <c r="G76" t="s">
        <v>154</v>
      </c>
      <c r="H76" t="s">
        <v>150</v>
      </c>
    </row>
    <row r="78" spans="1:13" x14ac:dyDescent="0.35">
      <c r="A78">
        <v>2025</v>
      </c>
      <c r="B78" t="s">
        <v>126</v>
      </c>
    </row>
    <row r="79" spans="1:13" x14ac:dyDescent="0.35">
      <c r="A79" s="11" t="s">
        <v>2</v>
      </c>
      <c r="B79" s="4">
        <v>101.31578947368416</v>
      </c>
    </row>
    <row r="80" spans="1:13" x14ac:dyDescent="0.35">
      <c r="A80" s="3" t="s">
        <v>3</v>
      </c>
      <c r="B80" s="4">
        <v>203.63157894736855</v>
      </c>
    </row>
    <row r="81" spans="1:2" x14ac:dyDescent="0.35">
      <c r="A81" s="3" t="s">
        <v>4</v>
      </c>
      <c r="B81" s="4">
        <v>1404</v>
      </c>
    </row>
    <row r="82" spans="1:2" x14ac:dyDescent="0.35">
      <c r="A82" s="3" t="s">
        <v>111</v>
      </c>
      <c r="B82" s="4">
        <v>11.631578947368553</v>
      </c>
    </row>
    <row r="83" spans="1:2" x14ac:dyDescent="0.35">
      <c r="A83" s="50" t="s">
        <v>7</v>
      </c>
      <c r="B83" s="4">
        <v>2.3157894736841627</v>
      </c>
    </row>
    <row r="84" spans="1:2" x14ac:dyDescent="0.35">
      <c r="A84" s="3" t="s">
        <v>8</v>
      </c>
      <c r="B84" s="4">
        <v>326.94736842105249</v>
      </c>
    </row>
    <row r="85" spans="1:2" x14ac:dyDescent="0.35">
      <c r="A85" s="3" t="s">
        <v>9</v>
      </c>
      <c r="B85" s="4">
        <v>106</v>
      </c>
    </row>
    <row r="86" spans="1:2" x14ac:dyDescent="0.35">
      <c r="A86" s="50" t="s">
        <v>10</v>
      </c>
      <c r="B86" s="4">
        <v>23.473684210526699</v>
      </c>
    </row>
    <row r="87" spans="1:2" x14ac:dyDescent="0.35">
      <c r="A87" s="50" t="s">
        <v>11</v>
      </c>
      <c r="B87" s="4">
        <v>28.526315789473301</v>
      </c>
    </row>
    <row r="88" spans="1:2" x14ac:dyDescent="0.35">
      <c r="A88" s="50" t="s">
        <v>12</v>
      </c>
      <c r="B88" s="4">
        <v>13.315789473684163</v>
      </c>
    </row>
    <row r="89" spans="1:2" x14ac:dyDescent="0.35">
      <c r="A89" s="50" t="s">
        <v>13</v>
      </c>
      <c r="B89" s="4">
        <v>22.947368421052659</v>
      </c>
    </row>
    <row r="90" spans="1:2" x14ac:dyDescent="0.35">
      <c r="A90" s="50" t="s">
        <v>14</v>
      </c>
      <c r="B90" s="4">
        <v>1.3157894736842763</v>
      </c>
    </row>
    <row r="91" spans="1:2" x14ac:dyDescent="0.35">
      <c r="A91" s="3" t="s">
        <v>15</v>
      </c>
      <c r="B91" s="4">
        <v>400.94736842105249</v>
      </c>
    </row>
    <row r="92" spans="1:2" x14ac:dyDescent="0.35">
      <c r="A92" s="3" t="s">
        <v>16</v>
      </c>
      <c r="B92" s="4">
        <v>295.15789473684208</v>
      </c>
    </row>
    <row r="93" spans="1:2" x14ac:dyDescent="0.35">
      <c r="A93" s="3" t="s">
        <v>17</v>
      </c>
      <c r="B93" s="4">
        <v>0</v>
      </c>
    </row>
    <row r="94" spans="1:2" x14ac:dyDescent="0.35">
      <c r="A94" s="3" t="s">
        <v>18</v>
      </c>
      <c r="B94" s="4">
        <v>124.84210526315792</v>
      </c>
    </row>
    <row r="95" spans="1:2" x14ac:dyDescent="0.35">
      <c r="A95" s="3" t="s">
        <v>19</v>
      </c>
      <c r="B95" s="4">
        <v>213.26315789473676</v>
      </c>
    </row>
    <row r="96" spans="1:2" x14ac:dyDescent="0.35">
      <c r="A96" s="3" t="s">
        <v>20</v>
      </c>
      <c r="B96" s="4">
        <v>56.631578947368553</v>
      </c>
    </row>
  </sheetData>
  <mergeCells count="2">
    <mergeCell ref="E4:F4"/>
    <mergeCell ref="B49:B51"/>
  </mergeCells>
  <phoneticPr fontId="8" type="noConversion"/>
  <pageMargins left="0.7" right="0.7" top="0.75" bottom="0.75" header="0.3" footer="0.3"/>
  <pageSetup paperSize="9" orientation="landscape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0E6157-9D40-4948-8D9D-36E45FA72AFD}">
  <dimension ref="B5"/>
  <sheetViews>
    <sheetView workbookViewId="0">
      <selection activeCell="K31" sqref="K31"/>
    </sheetView>
  </sheetViews>
  <sheetFormatPr baseColWidth="10" defaultRowHeight="14.5" x14ac:dyDescent="0.35"/>
  <sheetData>
    <row r="5" spans="2:2" x14ac:dyDescent="0.35">
      <c r="B5" t="s">
        <v>116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domaine</vt:lpstr>
      <vt:lpstr>recap </vt:lpstr>
      <vt:lpstr>negoce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Caroline Parent-Gros</dc:creator>
  <cp:lastModifiedBy>Caroline Parent-Gros</cp:lastModifiedBy>
  <cp:lastPrinted>2026-04-16T12:19:45Z</cp:lastPrinted>
  <dcterms:created xsi:type="dcterms:W3CDTF">2024-07-26T11:38:55Z</dcterms:created>
  <dcterms:modified xsi:type="dcterms:W3CDTF">2026-04-29T09:14:54Z</dcterms:modified>
</cp:coreProperties>
</file>