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arol\Desktop\TARIF 2021\"/>
    </mc:Choice>
  </mc:AlternateContent>
  <xr:revisionPtr revIDLastSave="0" documentId="13_ncr:1_{0C4D655F-E082-4926-B325-6CD1880709A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2" l="1"/>
  <c r="H19" i="2"/>
  <c r="H20" i="2"/>
  <c r="H21" i="2"/>
  <c r="H22" i="2"/>
  <c r="H23" i="2"/>
  <c r="H17" i="2"/>
  <c r="F18" i="2"/>
  <c r="F19" i="2"/>
  <c r="F20" i="2"/>
  <c r="F21" i="2"/>
  <c r="F22" i="2"/>
  <c r="F23" i="2"/>
  <c r="F17" i="2"/>
  <c r="F24" i="2" s="1"/>
  <c r="G18" i="2" s="1"/>
  <c r="H94" i="1"/>
  <c r="I74" i="1"/>
  <c r="P78" i="1"/>
  <c r="N78" i="1"/>
  <c r="M78" i="1"/>
  <c r="L78" i="1"/>
  <c r="I78" i="1"/>
  <c r="P75" i="1"/>
  <c r="P76" i="1"/>
  <c r="P77" i="1"/>
  <c r="N75" i="1"/>
  <c r="N76" i="1"/>
  <c r="N77" i="1"/>
  <c r="M75" i="1"/>
  <c r="M76" i="1"/>
  <c r="M77" i="1"/>
  <c r="L75" i="1"/>
  <c r="L76" i="1"/>
  <c r="L77" i="1"/>
  <c r="P74" i="1"/>
  <c r="N74" i="1"/>
  <c r="M74" i="1"/>
  <c r="L74" i="1"/>
  <c r="I75" i="1"/>
  <c r="I76" i="1"/>
  <c r="I77" i="1"/>
  <c r="J50" i="1"/>
  <c r="I49" i="1"/>
  <c r="J32" i="1"/>
  <c r="J33" i="1"/>
  <c r="J34" i="1"/>
  <c r="J35" i="1"/>
  <c r="J38" i="1"/>
  <c r="J39" i="1"/>
  <c r="J40" i="1"/>
  <c r="J28" i="1"/>
  <c r="J26" i="1"/>
  <c r="P10" i="1"/>
  <c r="M10" i="1"/>
  <c r="N10" i="1" s="1"/>
  <c r="L10" i="1"/>
  <c r="P16" i="1"/>
  <c r="M16" i="1"/>
  <c r="N16" i="1" s="1"/>
  <c r="L16" i="1"/>
  <c r="P23" i="1"/>
  <c r="M23" i="1"/>
  <c r="N23" i="1" s="1"/>
  <c r="L23" i="1"/>
  <c r="P28" i="1"/>
  <c r="P31" i="1"/>
  <c r="P32" i="1"/>
  <c r="P33" i="1"/>
  <c r="P38" i="1"/>
  <c r="P44" i="1"/>
  <c r="P45" i="1"/>
  <c r="P52" i="1"/>
  <c r="P56" i="1"/>
  <c r="P58" i="1"/>
  <c r="P62" i="1"/>
  <c r="P68" i="1"/>
  <c r="P70" i="1"/>
  <c r="P83" i="1"/>
  <c r="P27" i="1"/>
  <c r="N28" i="1"/>
  <c r="M28" i="1"/>
  <c r="M27" i="1"/>
  <c r="N27" i="1" s="1"/>
  <c r="L28" i="1"/>
  <c r="L27" i="1"/>
  <c r="N31" i="1"/>
  <c r="M32" i="1"/>
  <c r="N32" i="1" s="1"/>
  <c r="M31" i="1"/>
  <c r="L32" i="1"/>
  <c r="L31" i="1"/>
  <c r="M33" i="1"/>
  <c r="N33" i="1" s="1"/>
  <c r="L33" i="1"/>
  <c r="M38" i="1"/>
  <c r="N38" i="1" s="1"/>
  <c r="L38" i="1"/>
  <c r="M45" i="1"/>
  <c r="N45" i="1" s="1"/>
  <c r="M44" i="1"/>
  <c r="N44" i="1" s="1"/>
  <c r="L45" i="1"/>
  <c r="L44" i="1"/>
  <c r="G23" i="2" l="1"/>
  <c r="G22" i="2"/>
  <c r="G21" i="2"/>
  <c r="G20" i="2"/>
  <c r="G19" i="2"/>
  <c r="G17" i="2"/>
  <c r="M52" i="1"/>
  <c r="N52" i="1" s="1"/>
  <c r="L52" i="1"/>
  <c r="N56" i="1"/>
  <c r="M56" i="1"/>
  <c r="L56" i="1"/>
  <c r="M58" i="1"/>
  <c r="N58" i="1" s="1"/>
  <c r="L58" i="1"/>
  <c r="M60" i="1"/>
  <c r="N60" i="1" s="1"/>
  <c r="L60" i="1"/>
  <c r="M62" i="1"/>
  <c r="N62" i="1" s="1"/>
  <c r="L62" i="1"/>
  <c r="N69" i="1"/>
  <c r="M68" i="1"/>
  <c r="N68" i="1" s="1"/>
  <c r="L68" i="1"/>
  <c r="M70" i="1"/>
  <c r="N70" i="1" s="1"/>
  <c r="L70" i="1"/>
  <c r="M67" i="1"/>
  <c r="N67" i="1" s="1"/>
  <c r="J67" i="1"/>
  <c r="M66" i="1"/>
  <c r="N66" i="1" s="1"/>
  <c r="J66" i="1"/>
  <c r="M82" i="1"/>
  <c r="N82" i="1" s="1"/>
  <c r="I82" i="1"/>
  <c r="M29" i="1"/>
  <c r="N29" i="1" s="1"/>
  <c r="I29" i="1"/>
  <c r="N20" i="1"/>
  <c r="I20" i="1"/>
  <c r="N83" i="1"/>
  <c r="J83" i="1"/>
  <c r="N86" i="1"/>
  <c r="J86" i="1"/>
  <c r="I31" i="1"/>
  <c r="I44" i="1"/>
  <c r="N41" i="1"/>
  <c r="I41" i="1"/>
  <c r="I45" i="1"/>
  <c r="N50" i="1"/>
  <c r="J52" i="1"/>
  <c r="J56" i="1"/>
  <c r="J58" i="1"/>
  <c r="I60" i="1"/>
  <c r="J62" i="1"/>
  <c r="J68" i="1"/>
  <c r="J70" i="1"/>
  <c r="M26" i="1"/>
  <c r="N26" i="1" s="1"/>
  <c r="I27" i="1"/>
  <c r="J23" i="1"/>
  <c r="J10" i="1"/>
  <c r="I10" i="1"/>
  <c r="I16" i="1"/>
  <c r="I94" i="1" l="1"/>
  <c r="M46" i="1"/>
  <c r="M14" i="1" l="1"/>
  <c r="N14" i="1" s="1"/>
  <c r="I14" i="1"/>
  <c r="M15" i="1"/>
  <c r="N15" i="1" s="1"/>
  <c r="I15" i="1"/>
  <c r="M72" i="1" l="1"/>
  <c r="N72" i="1" s="1"/>
  <c r="J72" i="1"/>
  <c r="M65" i="1"/>
  <c r="N65" i="1" s="1"/>
  <c r="J65" i="1"/>
  <c r="J25" i="1"/>
  <c r="J24" i="1"/>
  <c r="J12" i="1"/>
  <c r="J22" i="1"/>
  <c r="J51" i="1"/>
  <c r="J53" i="1"/>
  <c r="J54" i="1"/>
  <c r="J55" i="1"/>
  <c r="J57" i="1"/>
  <c r="J59" i="1"/>
  <c r="J63" i="1"/>
  <c r="J64" i="1"/>
  <c r="J69" i="1"/>
  <c r="J71" i="1"/>
  <c r="J73" i="1"/>
  <c r="J84" i="1"/>
  <c r="J87" i="1"/>
  <c r="J88" i="1"/>
  <c r="J89" i="1"/>
  <c r="J11" i="1"/>
  <c r="M35" i="1"/>
  <c r="N35" i="1" s="1"/>
  <c r="I12" i="1"/>
  <c r="I13" i="1"/>
  <c r="I17" i="1"/>
  <c r="I18" i="1"/>
  <c r="I19" i="1"/>
  <c r="I30" i="1"/>
  <c r="I36" i="1"/>
  <c r="I37" i="1"/>
  <c r="I42" i="1"/>
  <c r="I43" i="1"/>
  <c r="I46" i="1"/>
  <c r="I47" i="1"/>
  <c r="I48" i="1"/>
  <c r="I61" i="1"/>
  <c r="I79" i="1"/>
  <c r="I80" i="1"/>
  <c r="I81" i="1"/>
  <c r="I85" i="1"/>
  <c r="I11" i="1"/>
  <c r="M80" i="1"/>
  <c r="N80" i="1" s="1"/>
  <c r="N19" i="1"/>
  <c r="J90" i="1" l="1"/>
  <c r="I90" i="1"/>
  <c r="N24" i="1"/>
  <c r="N25" i="1"/>
  <c r="M30" i="1"/>
  <c r="N30" i="1" s="1"/>
  <c r="N34" i="1"/>
  <c r="M36" i="1"/>
  <c r="N36" i="1" s="1"/>
  <c r="N37" i="1"/>
  <c r="N39" i="1"/>
  <c r="M40" i="1"/>
  <c r="N40" i="1" s="1"/>
  <c r="N42" i="1"/>
  <c r="M43" i="1"/>
  <c r="N43" i="1" s="1"/>
  <c r="N46" i="1"/>
  <c r="M47" i="1"/>
  <c r="N47" i="1" s="1"/>
  <c r="M48" i="1"/>
  <c r="N48" i="1" s="1"/>
  <c r="N51" i="1"/>
  <c r="N53" i="1"/>
  <c r="M54" i="1"/>
  <c r="N54" i="1" s="1"/>
  <c r="M55" i="1"/>
  <c r="N55" i="1" s="1"/>
  <c r="N57" i="1"/>
  <c r="N59" i="1"/>
  <c r="M61" i="1"/>
  <c r="N61" i="1" s="1"/>
  <c r="N63" i="1"/>
  <c r="M64" i="1"/>
  <c r="N64" i="1" s="1"/>
  <c r="N71" i="1"/>
  <c r="M73" i="1"/>
  <c r="N73" i="1" s="1"/>
  <c r="M79" i="1"/>
  <c r="N79" i="1" s="1"/>
  <c r="M81" i="1"/>
  <c r="N81" i="1" s="1"/>
  <c r="N84" i="1"/>
  <c r="M85" i="1"/>
  <c r="N85" i="1" s="1"/>
  <c r="N87" i="1"/>
  <c r="M88" i="1"/>
  <c r="N88" i="1" s="1"/>
  <c r="N89" i="1"/>
  <c r="M12" i="1"/>
  <c r="N12" i="1" s="1"/>
  <c r="M13" i="1"/>
  <c r="N13" i="1" s="1"/>
  <c r="N17" i="1"/>
  <c r="N18" i="1"/>
  <c r="M11" i="1"/>
  <c r="N11" i="1" s="1"/>
  <c r="I91" i="1" l="1"/>
</calcChain>
</file>

<file path=xl/sharedStrings.xml><?xml version="1.0" encoding="utf-8"?>
<sst xmlns="http://schemas.openxmlformats.org/spreadsheetml/2006/main" count="211" uniqueCount="63">
  <si>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</si>
  <si>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</si>
  <si>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</si>
  <si>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</si>
  <si>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</si>
  <si>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White Wines</t>
  </si>
  <si>
    <t>Beaune 1er cru les Montrevenots Blancs</t>
  </si>
  <si>
    <t xml:space="preserve">Chassagne Montrachet 1er cru Morgeot </t>
  </si>
  <si>
    <t>Corton Charlemagne</t>
  </si>
  <si>
    <t>Red Wines</t>
  </si>
  <si>
    <t>Bourgogne Pinot noir</t>
  </si>
  <si>
    <t>Bourgogne Hautes Côtes de Nuits -  Rouge</t>
  </si>
  <si>
    <t>Morey St Denis</t>
  </si>
  <si>
    <t>Gevrey Chambertin</t>
  </si>
  <si>
    <t>Pommard 1er cru les Arvelets</t>
  </si>
  <si>
    <t>Volnay 1er cru les Brouillards</t>
  </si>
  <si>
    <r>
      <t xml:space="preserve">Echezeaux   Grand Cru   </t>
    </r>
    <r>
      <rPr>
        <b/>
        <sz val="10"/>
        <rFont val="Cambria"/>
        <family val="1"/>
      </rPr>
      <t xml:space="preserve"> </t>
    </r>
    <r>
      <rPr>
        <sz val="10"/>
        <rFont val="Cambria"/>
        <family val="1"/>
      </rPr>
      <t xml:space="preserve"> </t>
    </r>
  </si>
  <si>
    <t>Moulin à Vent "En Mortperay"</t>
  </si>
  <si>
    <t>Vosne Romanée aux Réas</t>
  </si>
  <si>
    <t>Vosne Romanée les Chalandins</t>
  </si>
  <si>
    <t>Savigny les Beaune 1er cru   "Le Clos Des Guettes"</t>
  </si>
  <si>
    <t>Pommard 1er cru "Les Pezerolles"</t>
  </si>
  <si>
    <t>Pommard 1er cru "les Chanlins"</t>
  </si>
  <si>
    <t>Richebourg</t>
  </si>
  <si>
    <t>PRICE LIST IN EUROS € HT EX-CELLAR VALID UNTIL THE 1RST OF DECEMBER 2020</t>
  </si>
  <si>
    <t>Vosne Romanée Clos de la Fontaine</t>
  </si>
  <si>
    <t>Chambolle Musigny</t>
  </si>
  <si>
    <t>Beaune 1er cru les Boucherottes</t>
  </si>
  <si>
    <t>Beaune 1er cru les Sizies</t>
  </si>
  <si>
    <t>Volnay 1er cru les Fremiets</t>
  </si>
  <si>
    <t>EXPORT</t>
  </si>
  <si>
    <t>US/COR/AUS</t>
  </si>
  <si>
    <t>CHINE PRO</t>
  </si>
  <si>
    <t>ARRONDI</t>
  </si>
  <si>
    <t>Corton Charlemagne (maxi 36 Bt)</t>
  </si>
  <si>
    <t>Dispos</t>
  </si>
  <si>
    <t>Stocks</t>
  </si>
  <si>
    <t>Nuits St Georges 1er cru les Saints-Georges</t>
  </si>
  <si>
    <t>€ NEGOCE</t>
  </si>
  <si>
    <t>€ DOMAINE</t>
  </si>
  <si>
    <t>PARTICULIER</t>
  </si>
  <si>
    <t xml:space="preserve">TTC </t>
  </si>
  <si>
    <t>Vosne Romanée Clos de la Fontaine MAGNUMS</t>
  </si>
  <si>
    <t>Gevrey Chambertin La corvée</t>
  </si>
  <si>
    <t>Morey St Denis 1er cru les Monts Luisants</t>
  </si>
  <si>
    <t xml:space="preserve">Echezeaux   Grand Cru     </t>
  </si>
  <si>
    <t>Pommard 1er cru "les Epenots"</t>
  </si>
  <si>
    <t>Pommard 1er cru "les Rugiens"</t>
  </si>
  <si>
    <t>Pommard 1er cru "les Chanlins" MAGNUMS</t>
  </si>
  <si>
    <t>Pommard 1er cru "les Chanières" MAGNUMS</t>
  </si>
  <si>
    <t>COUT ACHAT</t>
  </si>
  <si>
    <t>Uniquement les 2019</t>
  </si>
  <si>
    <t>Cout total</t>
  </si>
  <si>
    <t>Vente Totale</t>
  </si>
  <si>
    <t>PRIX EX</t>
  </si>
  <si>
    <t>PRIX US</t>
  </si>
  <si>
    <t>PRIX PRO</t>
  </si>
  <si>
    <t>PRIX TTC</t>
  </si>
  <si>
    <t>TOTAL VENTE</t>
  </si>
  <si>
    <t>Rapport Invest/Rapport</t>
  </si>
  <si>
    <t>%</t>
  </si>
  <si>
    <t>APPELLATION</t>
  </si>
  <si>
    <t>Marge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</si>
</sst>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i/>
      <sz val="10"/>
      <name val="Cambria"/>
      <family val="1"/>
    </font>
    <font>
      <b/>
      <sz val="10"/>
      <name val="Cambria"/>
      <family val="1"/>
    </font>
    <font>
      <b/>
      <sz val="10"/>
      <color theme="5"/>
      <name val="Cambri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1" xfId="0" applyBorder="1"/>
    <xf numFmtId="0" fontId="6" fillId="0" borderId="5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7" fillId="0" borderId="1" xfId="0" applyFont="1" applyBorder="1"/>
    <xf numFmtId="0" fontId="2" fillId="3" borderId="0" xfId="0" applyFont="1" applyFill="1" applyBorder="1" applyAlignment="1">
      <alignment vertic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4" borderId="0" xfId="0" applyFill="1"/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1" xfId="0" applyFill="1" applyBorder="1"/>
    <xf numFmtId="0" fontId="6" fillId="5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0" fontId="6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6" borderId="0" xfId="0" applyFill="1"/>
    <xf numFmtId="0" fontId="0" fillId="6" borderId="1" xfId="0" applyFill="1" applyBorder="1"/>
    <xf numFmtId="0" fontId="9" fillId="0" borderId="1" xfId="0" applyFont="1" applyBorder="1"/>
    <xf numFmtId="0" fontId="9" fillId="0" borderId="2" xfId="0" applyFont="1" applyBorder="1"/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/>
    <xf numFmtId="0" fontId="9" fillId="0" borderId="1" xfId="0" applyFont="1" applyFill="1" applyBorder="1"/>
    <xf numFmtId="0" fontId="9" fillId="6" borderId="1" xfId="0" applyFont="1" applyFill="1" applyBorder="1"/>
    <xf numFmtId="0" fontId="2" fillId="0" borderId="0" xfId="0" applyFont="1" applyBorder="1" applyAlignment="1">
      <alignment horizontal="left" wrapText="1"/>
    </xf>
    <xf numFmtId="0" fontId="0" fillId="0" borderId="3" xfId="0" applyBorder="1"/>
    <xf numFmtId="0" fontId="0" fillId="0" borderId="5" xfId="0" applyBorder="1"/>
    <xf numFmtId="0" fontId="0" fillId="3" borderId="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0" xfId="0" applyFill="1" applyBorder="1"/>
    <xf numFmtId="0" fontId="0" fillId="0" borderId="0" xfId="0" applyBorder="1"/>
    <xf numFmtId="0" fontId="0" fillId="0" borderId="0" xfId="0" applyFill="1" applyBorder="1"/>
    <xf numFmtId="0" fontId="0" fillId="6" borderId="0" xfId="0" applyFill="1" applyBorder="1"/>
    <xf numFmtId="0" fontId="0" fillId="0" borderId="1" xfId="0" applyFont="1" applyBorder="1"/>
    <xf numFmtId="0" fontId="0" fillId="0" borderId="2" xfId="0" applyFont="1" applyBorder="1"/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/>
    <xf numFmtId="0" fontId="9" fillId="7" borderId="1" xfId="0" applyFont="1" applyFill="1" applyBorder="1"/>
    <xf numFmtId="0" fontId="9" fillId="7" borderId="2" xfId="0" applyFont="1" applyFill="1" applyBorder="1"/>
    <xf numFmtId="0" fontId="9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6" fillId="7" borderId="1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0" fillId="0" borderId="2" xfId="0" applyFill="1" applyBorder="1"/>
    <xf numFmtId="0" fontId="8" fillId="7" borderId="2" xfId="0" applyFont="1" applyFill="1" applyBorder="1"/>
    <xf numFmtId="0" fontId="9" fillId="0" borderId="0" xfId="0" applyFont="1"/>
    <xf numFmtId="164" fontId="9" fillId="0" borderId="1" xfId="0" applyNumberFormat="1" applyFont="1" applyBorder="1"/>
    <xf numFmtId="164" fontId="0" fillId="0" borderId="12" xfId="0" applyNumberFormat="1" applyFill="1" applyBorder="1"/>
    <xf numFmtId="164" fontId="0" fillId="0" borderId="16" xfId="0" applyNumberFormat="1" applyFill="1" applyBorder="1"/>
    <xf numFmtId="164" fontId="0" fillId="0" borderId="0" xfId="0" applyNumberFormat="1"/>
    <xf numFmtId="10" fontId="0" fillId="0" borderId="1" xfId="0" applyNumberFormat="1" applyBorder="1"/>
    <xf numFmtId="164" fontId="8" fillId="0" borderId="1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7" borderId="1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Feuil2!$D$16</c:f>
              <c:strCache>
                <c:ptCount val="1"/>
                <c:pt idx="0">
                  <c:v>COUT ACHAT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82-46CA-AEA9-4CBCBABA05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82-46CA-AEA9-4CBCBABA05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82-46CA-AEA9-4CBCBABA05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82-46CA-AEA9-4CBCBABA05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82-46CA-AEA9-4CBCBABA05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82-46CA-AEA9-4CBCBABA05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82-46CA-AEA9-4CBCBABA05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82-46CA-AEA9-4CBCBABA052D}"/>
              </c:ext>
            </c:extLst>
          </c:dPt>
          <c:cat>
            <c:strRef>
              <c:f>Feuil2!$A$17:$C$24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Feuil2!$D$17:$D$24</c:f>
              <c:numCache>
                <c:formatCode>General</c:formatCode>
                <c:ptCount val="8"/>
                <c:pt idx="0">
                  <c:v>18000</c:v>
                </c:pt>
                <c:pt idx="1">
                  <c:v>22076</c:v>
                </c:pt>
                <c:pt idx="2">
                  <c:v>25628</c:v>
                </c:pt>
                <c:pt idx="3">
                  <c:v>30590</c:v>
                </c:pt>
                <c:pt idx="4">
                  <c:v>18675</c:v>
                </c:pt>
                <c:pt idx="5">
                  <c:v>18000</c:v>
                </c:pt>
                <c:pt idx="6">
                  <c:v>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7-4BE3-ABCC-6749060BFF4D}"/>
            </c:ext>
          </c:extLst>
        </c:ser>
        <c:ser>
          <c:idx val="1"/>
          <c:order val="1"/>
          <c:tx>
            <c:strRef>
              <c:f>Feuil2!$E$16</c:f>
              <c:strCache>
                <c:ptCount val="1"/>
                <c:pt idx="0">
                  <c:v>TOTAL VENTE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682-46CA-AEA9-4CBCBABA05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682-46CA-AEA9-4CBCBABA05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682-46CA-AEA9-4CBCBABA05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682-46CA-AEA9-4CBCBABA05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682-46CA-AEA9-4CBCBABA05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682-46CA-AEA9-4CBCBABA05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682-46CA-AEA9-4CBCBABA05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682-46CA-AEA9-4CBCBABA052D}"/>
              </c:ext>
            </c:extLst>
          </c:dPt>
          <c:cat>
            <c:strRef>
              <c:f>Feuil2!$A$17:$C$24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Feuil2!$E$17:$E$24</c:f>
              <c:numCache>
                <c:formatCode>General</c:formatCode>
                <c:ptCount val="8"/>
                <c:pt idx="0">
                  <c:v>37410</c:v>
                </c:pt>
                <c:pt idx="1">
                  <c:v>63700</c:v>
                </c:pt>
                <c:pt idx="2">
                  <c:v>68850</c:v>
                </c:pt>
                <c:pt idx="3">
                  <c:v>64350</c:v>
                </c:pt>
                <c:pt idx="4">
                  <c:v>45500</c:v>
                </c:pt>
                <c:pt idx="5">
                  <c:v>37375</c:v>
                </c:pt>
                <c:pt idx="6">
                  <c:v>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7-4BE3-ABCC-6749060B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 investissement pour 1€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Feuil2!$B$16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Feuil2!$B$17:$B$23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3A2-4D2A-9095-3A94BB38DEB8}"/>
            </c:ext>
          </c:extLst>
        </c:ser>
        <c:ser>
          <c:idx val="1"/>
          <c:order val="1"/>
          <c:tx>
            <c:strRef>
              <c:f>Feuil2!$C$16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Feuil2!$C$17:$C$23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F3A2-4D2A-9095-3A94BB38DEB8}"/>
            </c:ext>
          </c:extLst>
        </c:ser>
        <c:ser>
          <c:idx val="2"/>
          <c:order val="2"/>
          <c:tx>
            <c:strRef>
              <c:f>Feuil2!$H$16</c:f>
              <c:strCache>
                <c:ptCount val="1"/>
                <c:pt idx="0">
                  <c:v>Rapport Invest/Rapport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Feuil2!$H$17:$H$23</c:f>
              <c:numCache>
                <c:formatCode>General</c:formatCode>
                <c:ptCount val="7"/>
                <c:pt idx="0">
                  <c:v>2.0783333333333331</c:v>
                </c:pt>
                <c:pt idx="1">
                  <c:v>2.8854865011777497</c:v>
                </c:pt>
                <c:pt idx="2">
                  <c:v>2.6865147494927424</c:v>
                </c:pt>
                <c:pt idx="3">
                  <c:v>2.103628636809415</c:v>
                </c:pt>
                <c:pt idx="4">
                  <c:v>2.4364123159303883</c:v>
                </c:pt>
                <c:pt idx="5">
                  <c:v>2.0763888888888888</c:v>
                </c:pt>
                <c:pt idx="6">
                  <c:v>2.6666666666666665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2-4D2A-9095-3A94BB38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4682079"/>
        <c:axId val="886856687"/>
        <c:axId val="0"/>
      </c:bar3DChart>
      <c:catAx>
        <c:axId val="114468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6856687"/>
        <c:crosses val="autoZero"/>
        <c:auto val="1"/>
        <c:lblAlgn val="ctr"/>
        <c:lblOffset val="100"/>
        <c:noMultiLvlLbl val="0"/>
      </c:catAx>
      <c:valAx>
        <c:axId val="88685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468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Feuil2!$D$16</c:f>
              <c:strCache>
                <c:ptCount val="1"/>
                <c:pt idx="0">
                  <c:v>COUT ACHAT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Feuil2!$D$17:$D$23</c:f>
              <c:numCache>
                <c:formatCode>General</c:formatCode>
                <c:ptCount val="7"/>
                <c:pt idx="0">
                  <c:v>18000</c:v>
                </c:pt>
                <c:pt idx="1">
                  <c:v>22076</c:v>
                </c:pt>
                <c:pt idx="2">
                  <c:v>25628</c:v>
                </c:pt>
                <c:pt idx="3">
                  <c:v>30590</c:v>
                </c:pt>
                <c:pt idx="4">
                  <c:v>18675</c:v>
                </c:pt>
                <c:pt idx="5">
                  <c:v>18000</c:v>
                </c:pt>
                <c:pt idx="6">
                  <c:v>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C-4BBD-8309-D7E077335851}"/>
            </c:ext>
          </c:extLst>
        </c:ser>
        <c:ser>
          <c:idx val="3"/>
          <c:order val="3"/>
          <c:tx>
            <c:strRef>
              <c:f>Feuil2!$E$16</c:f>
              <c:strCache>
                <c:ptCount val="1"/>
                <c:pt idx="0">
                  <c:v>TOTAL VENTE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Feuil2!$E$17:$E$23</c:f>
              <c:numCache>
                <c:formatCode>General</c:formatCode>
                <c:ptCount val="7"/>
                <c:pt idx="0">
                  <c:v>37410</c:v>
                </c:pt>
                <c:pt idx="1">
                  <c:v>63700</c:v>
                </c:pt>
                <c:pt idx="2">
                  <c:v>68850</c:v>
                </c:pt>
                <c:pt idx="3">
                  <c:v>64350</c:v>
                </c:pt>
                <c:pt idx="4">
                  <c:v>45500</c:v>
                </c:pt>
                <c:pt idx="5">
                  <c:v>37375</c:v>
                </c:pt>
                <c:pt idx="6">
                  <c:v>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9C-4BBD-8309-D7E077335851}"/>
            </c:ext>
          </c:extLst>
        </c:ser>
        <c:ser>
          <c:idx val="4"/>
          <c:order val="4"/>
          <c:tx>
            <c:strRef>
              <c:f>Feuil2!$F$16</c:f>
              <c:strCache>
                <c:ptCount val="1"/>
                <c:pt idx="0">
                  <c:v>Marge €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Feuil2!$F$17:$F$23</c:f>
              <c:numCache>
                <c:formatCode>General</c:formatCode>
                <c:ptCount val="7"/>
                <c:pt idx="0">
                  <c:v>19410</c:v>
                </c:pt>
                <c:pt idx="1">
                  <c:v>41624</c:v>
                </c:pt>
                <c:pt idx="2">
                  <c:v>43222</c:v>
                </c:pt>
                <c:pt idx="3">
                  <c:v>33760</c:v>
                </c:pt>
                <c:pt idx="4">
                  <c:v>26825</c:v>
                </c:pt>
                <c:pt idx="5">
                  <c:v>19375</c:v>
                </c:pt>
                <c:pt idx="6">
                  <c:v>13125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9C-4BBD-8309-D7E077335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423263"/>
        <c:axId val="109244617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Feuil2!$B$16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Feuil2!$A$17:$A$23</c15:sqref>
                        </c15:formulaRef>
                      </c:ext>
                    </c:extLst>
                    <c:strCache>
                      <c:ptCount val="7"/>
                      <c:pt idx="0">
                        <c:v>Corton Charlemagne</c:v>
                      </c:pt>
                      <c:pt idx="1">
                        <c:v>Bourgogne Pinot noir</c:v>
                      </c:pt>
                      <c:pt idx="2">
                        <c:v>Bourgogne Hautes Côtes de Nuits -  Rouge</c:v>
                      </c:pt>
                      <c:pt idx="3">
                        <c:v>Morey St Denis 1er cru les Monts Luisants</c:v>
                      </c:pt>
                      <c:pt idx="4">
                        <c:v>Gevrey Chambertin La corvée</c:v>
                      </c:pt>
                      <c:pt idx="5">
                        <c:v>Nuits St Georges 1er cru les Saints-Georges</c:v>
                      </c:pt>
                      <c:pt idx="6">
                        <c:v>Pommard 1er cru "les Chanières" MAGNUMS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Feuil2!$B$17:$B$23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79C-4BBD-8309-D7E07733585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Feuil2!$C$16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Feuil2!$A$17:$A$23</c15:sqref>
                        </c15:formulaRef>
                      </c:ext>
                    </c:extLst>
                    <c:strCache>
                      <c:ptCount val="7"/>
                      <c:pt idx="0">
                        <c:v>Corton Charlemagne</c:v>
                      </c:pt>
                      <c:pt idx="1">
                        <c:v>Bourgogne Pinot noir</c:v>
                      </c:pt>
                      <c:pt idx="2">
                        <c:v>Bourgogne Hautes Côtes de Nuits -  Rouge</c:v>
                      </c:pt>
                      <c:pt idx="3">
                        <c:v>Morey St Denis 1er cru les Monts Luisants</c:v>
                      </c:pt>
                      <c:pt idx="4">
                        <c:v>Gevrey Chambertin La corvée</c:v>
                      </c:pt>
                      <c:pt idx="5">
                        <c:v>Nuits St Georges 1er cru les Saints-Georges</c:v>
                      </c:pt>
                      <c:pt idx="6">
                        <c:v>Pommard 1er cru "les Chanières" MAGNUMS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Feuil2!$C$17:$C$23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79C-4BBD-8309-D7E07733585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Feuil2!$G$16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Feuil2!$G$17:$G$23</c:f>
              <c:numCache>
                <c:formatCode>0.00%</c:formatCode>
                <c:ptCount val="7"/>
                <c:pt idx="0">
                  <c:v>9.8357665158279317E-2</c:v>
                </c:pt>
                <c:pt idx="1">
                  <c:v>0.21092423774076344</c:v>
                </c:pt>
                <c:pt idx="2">
                  <c:v>0.21902189610876605</c:v>
                </c:pt>
                <c:pt idx="3">
                  <c:v>0.17107443460811489</c:v>
                </c:pt>
                <c:pt idx="4">
                  <c:v>0.13593221884960552</c:v>
                </c:pt>
                <c:pt idx="5">
                  <c:v>9.8180307184011426E-2</c:v>
                </c:pt>
                <c:pt idx="6">
                  <c:v>6.6509240350459353E-2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9C-4BBD-8309-D7E077335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432463"/>
        <c:axId val="1092440767"/>
      </c:lineChart>
      <c:catAx>
        <c:axId val="126242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446175"/>
        <c:crosses val="autoZero"/>
        <c:auto val="1"/>
        <c:lblAlgn val="ctr"/>
        <c:lblOffset val="100"/>
        <c:noMultiLvlLbl val="0"/>
      </c:catAx>
      <c:valAx>
        <c:axId val="109244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2423263"/>
        <c:crosses val="autoZero"/>
        <c:crossBetween val="between"/>
      </c:valAx>
      <c:valAx>
        <c:axId val="1092440767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2432463"/>
        <c:crosses val="max"/>
        <c:crossBetween val="between"/>
      </c:valAx>
      <c:catAx>
        <c:axId val="126243246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924407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3</xdr:row>
      <xdr:rowOff>133350</xdr:rowOff>
    </xdr:from>
    <xdr:to>
      <xdr:col>1</xdr:col>
      <xdr:colOff>971550</xdr:colOff>
      <xdr:row>5</xdr:row>
      <xdr:rowOff>50899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27</xdr:row>
      <xdr:rowOff>0</xdr:rowOff>
    </xdr:from>
    <xdr:to>
      <xdr:col>5</xdr:col>
      <xdr:colOff>171450</xdr:colOff>
      <xdr:row>40</xdr:row>
      <xdr:rowOff>4762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8A6768D-C1FC-4974-A29C-7284EC9D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581025</xdr:colOff>
      <xdr:row>26</xdr:row>
      <xdr:rowOff>152400</xdr:rowOff>
    </xdr:from>
    <xdr:to>
      <xdr:col>10</xdr:col>
      <xdr:colOff>409574</xdr:colOff>
      <xdr:row>39</xdr:row>
      <xdr:rowOff>176212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42FBA98-ADC9-47FC-80AB-5A31A88AE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514350</xdr:colOff>
      <xdr:row>40</xdr:row>
      <xdr:rowOff>61911</xdr:rowOff>
    </xdr:from>
    <xdr:to>
      <xdr:col>9</xdr:col>
      <xdr:colOff>61913</xdr:colOff>
      <xdr:row>58</xdr:row>
      <xdr:rowOff>142874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A43AF80-9193-4411-A1C0-F335E55D6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topLeftCell="A28" workbookViewId="0">
      <selection activeCell="Q60" sqref="Q60"/>
    </sheetView>
  </sheetViews>
  <sheetFormatPr baseColWidth="10" defaultRowHeight="15" x14ac:dyDescent="0.25"/>
  <cols>
    <col min="2" max="2" width="15.140625" customWidth="1"/>
    <col min="3" max="3" width="12.5703125" customWidth="1"/>
    <col min="4" max="4" width="9.140625" customWidth="1"/>
    <col min="5" max="5" width="17.42578125" customWidth="1"/>
    <col min="6" max="6" width="6.5703125" bestFit="1" customWidth="1"/>
    <col min="7" max="7" width="9.140625" customWidth="1"/>
    <col min="8" max="8" width="14.7109375" customWidth="1"/>
    <col min="9" max="9" width="12" customWidth="1"/>
    <col min="10" max="10" width="14.85546875" customWidth="1"/>
    <col min="11" max="11" width="8.28515625" style="9" customWidth="1"/>
    <col min="12" max="12" width="12.28515625" style="16" customWidth="1"/>
    <col min="13" max="13" width="11.85546875" style="21" customWidth="1"/>
    <col min="14" max="14" width="11.28515625" customWidth="1"/>
    <col min="15" max="15" width="11.42578125" style="25"/>
    <col min="16" max="16" width="11.42578125" style="29"/>
  </cols>
  <sheetData>
    <row r="1" spans="1:16" ht="59.25" x14ac:dyDescent="0.25">
      <c r="A1" s="82" t="s">
        <v>3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12"/>
    </row>
    <row r="2" spans="1:16" ht="60" thickBot="1" x14ac:dyDescent="0.3">
      <c r="A2" s="85" t="s">
        <v>4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12"/>
    </row>
    <row r="3" spans="1:16" x14ac:dyDescent="0.25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6" x14ac:dyDescent="0.25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13"/>
    </row>
    <row r="5" spans="1:16" x14ac:dyDescent="0.25">
      <c r="A5" s="88" t="s">
        <v>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14"/>
    </row>
    <row r="6" spans="1:16" ht="15.75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8"/>
      <c r="L6" s="14"/>
    </row>
    <row r="7" spans="1:16" x14ac:dyDescent="0.25">
      <c r="A7" s="92" t="s">
        <v>24</v>
      </c>
      <c r="B7" s="93"/>
      <c r="C7" s="93"/>
      <c r="D7" s="93"/>
      <c r="E7" s="93"/>
      <c r="F7" s="93"/>
      <c r="G7" s="93"/>
      <c r="H7" s="93"/>
      <c r="I7" s="93"/>
      <c r="J7" s="93"/>
      <c r="K7" s="94"/>
      <c r="L7" s="15"/>
    </row>
    <row r="8" spans="1:16" ht="15.75" thickBot="1" x14ac:dyDescent="0.3">
      <c r="A8" s="95"/>
      <c r="B8" s="96"/>
      <c r="C8" s="96"/>
      <c r="D8" s="96"/>
      <c r="E8" s="96"/>
      <c r="F8" s="96"/>
      <c r="G8" s="96"/>
      <c r="H8" s="96"/>
      <c r="I8" s="96"/>
      <c r="J8" s="96"/>
      <c r="K8" s="97"/>
      <c r="L8" s="15"/>
    </row>
    <row r="9" spans="1:16" x14ac:dyDescent="0.25">
      <c r="A9" s="1" t="s">
        <v>5</v>
      </c>
      <c r="F9" t="s">
        <v>36</v>
      </c>
      <c r="G9" t="s">
        <v>35</v>
      </c>
      <c r="H9" t="s">
        <v>50</v>
      </c>
      <c r="I9" t="s">
        <v>38</v>
      </c>
      <c r="J9" t="s">
        <v>39</v>
      </c>
      <c r="K9" s="9" t="s">
        <v>30</v>
      </c>
      <c r="L9" s="16" t="s">
        <v>31</v>
      </c>
      <c r="M9" s="21" t="s">
        <v>32</v>
      </c>
      <c r="N9" t="s">
        <v>40</v>
      </c>
      <c r="O9" s="25" t="s">
        <v>33</v>
      </c>
      <c r="P9" s="29" t="s">
        <v>41</v>
      </c>
    </row>
    <row r="10" spans="1:16" x14ac:dyDescent="0.25">
      <c r="A10" s="99" t="s">
        <v>6</v>
      </c>
      <c r="B10" s="99"/>
      <c r="C10" s="99"/>
      <c r="D10" s="51">
        <v>2019</v>
      </c>
      <c r="E10" s="52" t="s">
        <v>3</v>
      </c>
      <c r="F10" s="52"/>
      <c r="G10" s="52">
        <v>1430</v>
      </c>
      <c r="H10" s="52"/>
      <c r="I10" s="52">
        <f>K10*G10</f>
        <v>55770</v>
      </c>
      <c r="J10" s="52">
        <f>G10*K10</f>
        <v>55770</v>
      </c>
      <c r="K10" s="53">
        <v>39</v>
      </c>
      <c r="L10" s="53">
        <f>K10/0.95</f>
        <v>41.05263157894737</v>
      </c>
      <c r="M10" s="51">
        <f>K10/0.8</f>
        <v>48.75</v>
      </c>
      <c r="N10" s="51">
        <f>M10/0.85</f>
        <v>57.352941176470587</v>
      </c>
      <c r="O10" s="51">
        <v>58</v>
      </c>
      <c r="P10" s="51">
        <f>O10*1.2</f>
        <v>69.599999999999994</v>
      </c>
    </row>
    <row r="11" spans="1:16" x14ac:dyDescent="0.25">
      <c r="A11" s="90" t="s">
        <v>6</v>
      </c>
      <c r="B11" s="90"/>
      <c r="C11" s="90"/>
      <c r="D11" s="3">
        <v>2018</v>
      </c>
      <c r="E11" s="5" t="s">
        <v>3</v>
      </c>
      <c r="F11" s="5"/>
      <c r="G11" s="5">
        <v>424</v>
      </c>
      <c r="H11" s="5"/>
      <c r="I11" s="5">
        <f>K11*G11</f>
        <v>16112</v>
      </c>
      <c r="J11" s="5">
        <f>G11*K11</f>
        <v>16112</v>
      </c>
      <c r="K11" s="10">
        <v>38</v>
      </c>
      <c r="L11" s="17">
        <v>43</v>
      </c>
      <c r="M11" s="22">
        <f>K11/0.8</f>
        <v>47.5</v>
      </c>
      <c r="N11" s="3">
        <f>M11/0.85*1.2</f>
        <v>67.058823529411768</v>
      </c>
      <c r="O11" s="26">
        <v>68</v>
      </c>
      <c r="P11" s="30">
        <v>68</v>
      </c>
    </row>
    <row r="12" spans="1:16" x14ac:dyDescent="0.25">
      <c r="A12" s="90" t="s">
        <v>6</v>
      </c>
      <c r="B12" s="90"/>
      <c r="C12" s="90"/>
      <c r="D12" s="3">
        <v>2017</v>
      </c>
      <c r="E12" s="5" t="s">
        <v>3</v>
      </c>
      <c r="F12" s="5"/>
      <c r="G12" s="5">
        <v>222</v>
      </c>
      <c r="H12" s="5"/>
      <c r="I12" s="5">
        <f>K12*G12</f>
        <v>7770</v>
      </c>
      <c r="J12" s="5">
        <f>G12*K12</f>
        <v>7770</v>
      </c>
      <c r="K12" s="10">
        <v>35</v>
      </c>
      <c r="L12" s="17">
        <v>38.9</v>
      </c>
      <c r="M12" s="22">
        <f t="shared" ref="M12:M13" si="0">K12/0.8</f>
        <v>43.75</v>
      </c>
      <c r="N12" s="3">
        <f t="shared" ref="N12:N89" si="1">M12/0.85*1.2</f>
        <v>61.764705882352935</v>
      </c>
      <c r="O12" s="26">
        <v>62</v>
      </c>
      <c r="P12" s="30">
        <v>59</v>
      </c>
    </row>
    <row r="13" spans="1:16" x14ac:dyDescent="0.25">
      <c r="A13" s="89" t="s">
        <v>7</v>
      </c>
      <c r="B13" s="89"/>
      <c r="C13" s="89"/>
      <c r="D13" s="3">
        <v>2014</v>
      </c>
      <c r="E13" s="5" t="s">
        <v>4</v>
      </c>
      <c r="F13" s="5"/>
      <c r="G13" s="5">
        <v>79</v>
      </c>
      <c r="H13" s="5"/>
      <c r="I13" s="5">
        <f>K13*G13</f>
        <v>4108</v>
      </c>
      <c r="J13" s="5"/>
      <c r="K13" s="10">
        <v>52</v>
      </c>
      <c r="L13" s="18">
        <v>52</v>
      </c>
      <c r="M13" s="22">
        <f t="shared" si="0"/>
        <v>65</v>
      </c>
      <c r="N13" s="3">
        <f t="shared" si="1"/>
        <v>91.764705882352942</v>
      </c>
      <c r="O13" s="26">
        <v>92</v>
      </c>
      <c r="P13" s="30">
        <v>79</v>
      </c>
    </row>
    <row r="14" spans="1:16" x14ac:dyDescent="0.25">
      <c r="A14" s="89" t="s">
        <v>7</v>
      </c>
      <c r="B14" s="89"/>
      <c r="C14" s="89"/>
      <c r="D14" s="3">
        <v>2013</v>
      </c>
      <c r="E14" s="5" t="s">
        <v>4</v>
      </c>
      <c r="F14" s="5"/>
      <c r="G14" s="5">
        <v>133</v>
      </c>
      <c r="H14" s="5"/>
      <c r="I14" s="5">
        <f t="shared" ref="I14" si="2">K14*G14</f>
        <v>6916</v>
      </c>
      <c r="J14" s="5"/>
      <c r="K14" s="10">
        <v>52</v>
      </c>
      <c r="L14" s="18">
        <v>52</v>
      </c>
      <c r="M14" s="22">
        <f t="shared" ref="M14" si="3">K14/0.8</f>
        <v>65</v>
      </c>
      <c r="N14" s="3">
        <f t="shared" ref="N14" si="4">M14/0.85*1.2</f>
        <v>91.764705882352942</v>
      </c>
      <c r="O14" s="26">
        <v>92</v>
      </c>
      <c r="P14" s="30">
        <v>79</v>
      </c>
    </row>
    <row r="15" spans="1:16" x14ac:dyDescent="0.25">
      <c r="A15" s="89" t="s">
        <v>7</v>
      </c>
      <c r="B15" s="89"/>
      <c r="C15" s="89"/>
      <c r="D15" s="3">
        <v>2012</v>
      </c>
      <c r="E15" s="5" t="s">
        <v>4</v>
      </c>
      <c r="F15" s="5"/>
      <c r="G15" s="5">
        <v>60</v>
      </c>
      <c r="H15" s="5"/>
      <c r="I15" s="5">
        <f t="shared" ref="I15:I16" si="5">K15*G15</f>
        <v>3120</v>
      </c>
      <c r="J15" s="5"/>
      <c r="K15" s="10">
        <v>52</v>
      </c>
      <c r="L15" s="18">
        <v>52</v>
      </c>
      <c r="M15" s="22">
        <f t="shared" ref="M15" si="6">K15/0.8</f>
        <v>65</v>
      </c>
      <c r="N15" s="3">
        <f t="shared" ref="N15" si="7">M15/0.85*1.2</f>
        <v>91.764705882352942</v>
      </c>
      <c r="O15" s="26">
        <v>92</v>
      </c>
      <c r="P15" s="30">
        <v>79</v>
      </c>
    </row>
    <row r="16" spans="1:16" x14ac:dyDescent="0.25">
      <c r="A16" s="91" t="s">
        <v>8</v>
      </c>
      <c r="B16" s="91"/>
      <c r="C16" s="91"/>
      <c r="D16" s="51">
        <v>2019</v>
      </c>
      <c r="E16" s="52" t="s">
        <v>4</v>
      </c>
      <c r="F16" s="52"/>
      <c r="G16" s="52">
        <v>290</v>
      </c>
      <c r="H16" s="60">
        <v>18000</v>
      </c>
      <c r="I16" s="52">
        <f t="shared" si="5"/>
        <v>37410</v>
      </c>
      <c r="J16" s="52"/>
      <c r="K16" s="53">
        <v>129</v>
      </c>
      <c r="L16" s="57">
        <f>K16/0.95</f>
        <v>135.78947368421052</v>
      </c>
      <c r="M16" s="51">
        <f>K16/0.8</f>
        <v>161.25</v>
      </c>
      <c r="N16" s="51">
        <f>M16/0.85</f>
        <v>189.70588235294119</v>
      </c>
      <c r="O16" s="51">
        <v>190</v>
      </c>
      <c r="P16" s="51">
        <f>O16*1.2</f>
        <v>228</v>
      </c>
    </row>
    <row r="17" spans="1:16" x14ac:dyDescent="0.25">
      <c r="A17" s="89" t="s">
        <v>8</v>
      </c>
      <c r="B17" s="89"/>
      <c r="C17" s="89"/>
      <c r="D17" s="3">
        <v>2018</v>
      </c>
      <c r="E17" s="5" t="s">
        <v>4</v>
      </c>
      <c r="F17" s="5"/>
      <c r="G17" s="5">
        <v>28</v>
      </c>
      <c r="H17" s="5"/>
      <c r="I17" s="5">
        <f>K17*G17</f>
        <v>2996</v>
      </c>
      <c r="J17" s="5"/>
      <c r="K17" s="10">
        <v>107</v>
      </c>
      <c r="L17" s="18">
        <v>112</v>
      </c>
      <c r="M17" s="22">
        <v>134</v>
      </c>
      <c r="N17" s="3">
        <f t="shared" si="1"/>
        <v>189.1764705882353</v>
      </c>
      <c r="O17" s="26">
        <v>189</v>
      </c>
      <c r="P17" s="30">
        <v>189</v>
      </c>
    </row>
    <row r="18" spans="1:16" x14ac:dyDescent="0.25">
      <c r="A18" s="89" t="s">
        <v>8</v>
      </c>
      <c r="B18" s="89"/>
      <c r="C18" s="89"/>
      <c r="D18" s="3">
        <v>2017</v>
      </c>
      <c r="E18" s="5" t="s">
        <v>4</v>
      </c>
      <c r="F18" s="5"/>
      <c r="G18" s="5">
        <v>38</v>
      </c>
      <c r="H18" s="5"/>
      <c r="I18" s="5">
        <f>K18*G18</f>
        <v>3610</v>
      </c>
      <c r="J18" s="5"/>
      <c r="K18" s="10">
        <v>95</v>
      </c>
      <c r="L18" s="17">
        <v>100</v>
      </c>
      <c r="M18" s="22">
        <v>119</v>
      </c>
      <c r="N18" s="3">
        <f t="shared" si="1"/>
        <v>168</v>
      </c>
      <c r="O18" s="26">
        <v>168</v>
      </c>
      <c r="P18" s="30">
        <v>167</v>
      </c>
    </row>
    <row r="19" spans="1:16" x14ac:dyDescent="0.25">
      <c r="A19" s="89" t="s">
        <v>34</v>
      </c>
      <c r="B19" s="89"/>
      <c r="C19" s="89"/>
      <c r="D19" s="3">
        <v>2016</v>
      </c>
      <c r="E19" s="5" t="s">
        <v>4</v>
      </c>
      <c r="F19" s="5"/>
      <c r="G19" s="5">
        <v>50</v>
      </c>
      <c r="H19" s="5"/>
      <c r="I19" s="5">
        <f>K19*G19</f>
        <v>4750</v>
      </c>
      <c r="J19" s="5"/>
      <c r="K19" s="10">
        <v>95</v>
      </c>
      <c r="L19" s="17">
        <v>100</v>
      </c>
      <c r="M19" s="22">
        <v>119</v>
      </c>
      <c r="N19" s="3">
        <f t="shared" ref="N19" si="8">M19/0.85*1.2</f>
        <v>168</v>
      </c>
      <c r="O19" s="26">
        <v>168</v>
      </c>
      <c r="P19" s="30">
        <v>135</v>
      </c>
    </row>
    <row r="20" spans="1:16" x14ac:dyDescent="0.25">
      <c r="A20" s="89" t="s">
        <v>34</v>
      </c>
      <c r="B20" s="89"/>
      <c r="C20" s="89"/>
      <c r="D20" s="3">
        <v>2014</v>
      </c>
      <c r="E20" s="5" t="s">
        <v>4</v>
      </c>
      <c r="F20" s="5"/>
      <c r="G20" s="5">
        <v>53</v>
      </c>
      <c r="H20" s="5"/>
      <c r="I20" s="5">
        <f t="shared" ref="I20" si="9">K20*G20</f>
        <v>5035</v>
      </c>
      <c r="J20" s="5"/>
      <c r="K20" s="10">
        <v>95</v>
      </c>
      <c r="L20" s="17">
        <v>100</v>
      </c>
      <c r="M20" s="22">
        <v>119</v>
      </c>
      <c r="N20" s="3">
        <f t="shared" ref="N20" si="10">M20/0.85*1.2</f>
        <v>168</v>
      </c>
      <c r="O20" s="26">
        <v>168</v>
      </c>
      <c r="P20" s="30">
        <v>135</v>
      </c>
    </row>
    <row r="21" spans="1:16" x14ac:dyDescent="0.25">
      <c r="A21" s="38"/>
      <c r="B21" s="38"/>
      <c r="C21" s="38"/>
      <c r="D21" s="39"/>
      <c r="E21" s="39"/>
      <c r="F21" s="40"/>
      <c r="G21" s="40"/>
      <c r="H21" s="40"/>
      <c r="I21" s="5"/>
      <c r="J21" s="5"/>
      <c r="K21" s="41"/>
      <c r="L21" s="42"/>
      <c r="M21" s="43"/>
      <c r="N21" s="44"/>
      <c r="O21" s="45"/>
      <c r="P21" s="46"/>
    </row>
    <row r="22" spans="1:16" ht="17.25" customHeight="1" x14ac:dyDescent="0.25">
      <c r="A22" s="2" t="s">
        <v>9</v>
      </c>
      <c r="D22" s="98"/>
      <c r="E22" s="98"/>
      <c r="F22" s="4"/>
      <c r="G22" s="4"/>
      <c r="H22" s="4"/>
      <c r="I22" s="5"/>
      <c r="J22" s="5">
        <f>G22*K22</f>
        <v>0</v>
      </c>
      <c r="K22" s="11"/>
      <c r="L22" s="19"/>
      <c r="M22" s="23"/>
      <c r="O22" s="27"/>
    </row>
    <row r="23" spans="1:16" ht="17.25" customHeight="1" x14ac:dyDescent="0.25">
      <c r="A23" s="77" t="s">
        <v>17</v>
      </c>
      <c r="B23" s="77"/>
      <c r="C23" s="77"/>
      <c r="D23" s="51">
        <v>2019</v>
      </c>
      <c r="E23" s="51" t="s">
        <v>3</v>
      </c>
      <c r="F23" s="51"/>
      <c r="G23" s="51">
        <v>9800</v>
      </c>
      <c r="H23" s="52"/>
      <c r="I23" s="52"/>
      <c r="J23" s="52">
        <f>G23*K23</f>
        <v>127400</v>
      </c>
      <c r="K23" s="53">
        <v>13</v>
      </c>
      <c r="L23" s="54">
        <f>K23/0.95</f>
        <v>13.684210526315789</v>
      </c>
      <c r="M23" s="55">
        <f>K23/0.8</f>
        <v>16.25</v>
      </c>
      <c r="N23" s="56">
        <f>M23/0.85</f>
        <v>19.117647058823529</v>
      </c>
      <c r="O23" s="55">
        <v>20</v>
      </c>
      <c r="P23" s="51">
        <f>O23*1.2</f>
        <v>24</v>
      </c>
    </row>
    <row r="24" spans="1:16" x14ac:dyDescent="0.25">
      <c r="A24" s="69" t="s">
        <v>17</v>
      </c>
      <c r="B24" s="69"/>
      <c r="C24" s="69"/>
      <c r="D24" s="3">
        <v>2018</v>
      </c>
      <c r="E24" s="3" t="s">
        <v>3</v>
      </c>
      <c r="F24" s="3"/>
      <c r="G24" s="3">
        <v>1113</v>
      </c>
      <c r="H24" s="5"/>
      <c r="I24" s="5"/>
      <c r="J24" s="5">
        <f>G24*K24</f>
        <v>14469</v>
      </c>
      <c r="K24" s="10">
        <v>13</v>
      </c>
      <c r="L24" s="20">
        <v>13.7</v>
      </c>
      <c r="M24" s="24">
        <v>16.25</v>
      </c>
      <c r="N24" s="7">
        <f t="shared" si="1"/>
        <v>22.941176470588236</v>
      </c>
      <c r="O24" s="28">
        <v>23</v>
      </c>
      <c r="P24" s="30">
        <v>23</v>
      </c>
    </row>
    <row r="25" spans="1:16" x14ac:dyDescent="0.25">
      <c r="A25" s="69" t="s">
        <v>17</v>
      </c>
      <c r="B25" s="69"/>
      <c r="C25" s="69"/>
      <c r="D25" s="3">
        <v>2017</v>
      </c>
      <c r="E25" s="3" t="s">
        <v>3</v>
      </c>
      <c r="F25" s="3"/>
      <c r="G25" s="3">
        <v>1170</v>
      </c>
      <c r="H25" s="5"/>
      <c r="I25" s="5"/>
      <c r="J25" s="5">
        <f>G25*K25</f>
        <v>15210</v>
      </c>
      <c r="K25" s="10">
        <v>13</v>
      </c>
      <c r="L25" s="17">
        <v>13.7</v>
      </c>
      <c r="M25" s="22">
        <v>16.25</v>
      </c>
      <c r="N25" s="3">
        <f t="shared" si="1"/>
        <v>22.941176470588236</v>
      </c>
      <c r="O25" s="26">
        <v>23</v>
      </c>
      <c r="P25" s="30">
        <v>22</v>
      </c>
    </row>
    <row r="26" spans="1:16" x14ac:dyDescent="0.25">
      <c r="A26" s="69" t="s">
        <v>10</v>
      </c>
      <c r="B26" s="69"/>
      <c r="C26" s="69"/>
      <c r="D26" s="3">
        <v>2018</v>
      </c>
      <c r="E26" s="3" t="s">
        <v>3</v>
      </c>
      <c r="F26" s="3"/>
      <c r="G26" s="3">
        <v>294</v>
      </c>
      <c r="H26" s="5"/>
      <c r="I26" s="5"/>
      <c r="J26" s="5">
        <f>G26*K26</f>
        <v>3822</v>
      </c>
      <c r="K26" s="10">
        <v>13</v>
      </c>
      <c r="L26" s="17">
        <v>13.7</v>
      </c>
      <c r="M26" s="22">
        <f>K26/0.8</f>
        <v>16.25</v>
      </c>
      <c r="N26" s="3">
        <f t="shared" ref="N26" si="11">M26/0.85*1.2</f>
        <v>22.941176470588236</v>
      </c>
      <c r="O26" s="26">
        <v>23</v>
      </c>
      <c r="P26" s="30">
        <v>23</v>
      </c>
    </row>
    <row r="27" spans="1:16" x14ac:dyDescent="0.25">
      <c r="A27" s="77" t="s">
        <v>10</v>
      </c>
      <c r="B27" s="77"/>
      <c r="C27" s="77"/>
      <c r="D27" s="51">
        <v>2019</v>
      </c>
      <c r="E27" s="51" t="s">
        <v>4</v>
      </c>
      <c r="F27" s="51"/>
      <c r="G27" s="51">
        <v>4900</v>
      </c>
      <c r="H27" s="60">
        <v>22076</v>
      </c>
      <c r="I27" s="52">
        <f t="shared" ref="I27" si="12">K27*G27</f>
        <v>63700</v>
      </c>
      <c r="J27" s="58"/>
      <c r="K27" s="53">
        <v>13</v>
      </c>
      <c r="L27" s="53">
        <f>K27/0.95</f>
        <v>13.684210526315789</v>
      </c>
      <c r="M27" s="51">
        <f>K27/0.8</f>
        <v>16.25</v>
      </c>
      <c r="N27" s="51">
        <f>M27/0.85</f>
        <v>19.117647058823529</v>
      </c>
      <c r="O27" s="51">
        <v>20</v>
      </c>
      <c r="P27" s="51">
        <f>O27*1.2</f>
        <v>24</v>
      </c>
    </row>
    <row r="28" spans="1:16" x14ac:dyDescent="0.25">
      <c r="A28" s="77" t="s">
        <v>10</v>
      </c>
      <c r="B28" s="77"/>
      <c r="C28" s="77"/>
      <c r="D28" s="51">
        <v>2019</v>
      </c>
      <c r="E28" s="51" t="s">
        <v>3</v>
      </c>
      <c r="F28" s="51"/>
      <c r="G28" s="51">
        <v>4000</v>
      </c>
      <c r="H28" s="52"/>
      <c r="I28" s="52"/>
      <c r="J28" s="58">
        <f>G28*K28</f>
        <v>52000</v>
      </c>
      <c r="K28" s="53">
        <v>13</v>
      </c>
      <c r="L28" s="53">
        <f>K28/0.95</f>
        <v>13.684210526315789</v>
      </c>
      <c r="M28" s="51">
        <f>K28/0.8</f>
        <v>16.25</v>
      </c>
      <c r="N28" s="51">
        <f>M28/0.85</f>
        <v>19.117647058823529</v>
      </c>
      <c r="O28" s="51">
        <v>20</v>
      </c>
      <c r="P28" s="51">
        <f>O28*1.2</f>
        <v>24</v>
      </c>
    </row>
    <row r="29" spans="1:16" x14ac:dyDescent="0.25">
      <c r="A29" s="69" t="s">
        <v>10</v>
      </c>
      <c r="B29" s="69"/>
      <c r="C29" s="69"/>
      <c r="D29" s="3">
        <v>2018</v>
      </c>
      <c r="E29" s="3" t="s">
        <v>4</v>
      </c>
      <c r="F29" s="3"/>
      <c r="G29" s="3">
        <v>196</v>
      </c>
      <c r="H29" s="5"/>
      <c r="I29" s="5">
        <f t="shared" ref="I29" si="13">K29*G29</f>
        <v>2548</v>
      </c>
      <c r="J29" s="59"/>
      <c r="K29" s="10">
        <v>13</v>
      </c>
      <c r="L29" s="17">
        <v>13.7</v>
      </c>
      <c r="M29" s="22">
        <f t="shared" ref="M29" si="14">K29/0.8</f>
        <v>16.25</v>
      </c>
      <c r="N29" s="3">
        <f t="shared" ref="N29" si="15">M29/0.85*1.2</f>
        <v>22.941176470588236</v>
      </c>
      <c r="O29" s="26">
        <v>23</v>
      </c>
      <c r="P29" s="30">
        <v>22</v>
      </c>
    </row>
    <row r="30" spans="1:16" x14ac:dyDescent="0.25">
      <c r="A30" s="69" t="s">
        <v>10</v>
      </c>
      <c r="B30" s="69"/>
      <c r="C30" s="69"/>
      <c r="D30" s="3">
        <v>2017</v>
      </c>
      <c r="E30" s="3" t="s">
        <v>4</v>
      </c>
      <c r="F30" s="3"/>
      <c r="G30" s="3">
        <v>116</v>
      </c>
      <c r="H30" s="5"/>
      <c r="I30" s="5">
        <f>K30*G30</f>
        <v>1508</v>
      </c>
      <c r="J30" s="59"/>
      <c r="K30" s="10">
        <v>13</v>
      </c>
      <c r="L30" s="17">
        <v>13.7</v>
      </c>
      <c r="M30" s="22">
        <f t="shared" ref="M30:M88" si="16">K30/0.8</f>
        <v>16.25</v>
      </c>
      <c r="N30" s="3">
        <f t="shared" si="1"/>
        <v>22.941176470588236</v>
      </c>
      <c r="O30" s="26">
        <v>23</v>
      </c>
      <c r="P30" s="30">
        <v>22</v>
      </c>
    </row>
    <row r="31" spans="1:16" x14ac:dyDescent="0.25">
      <c r="A31" s="77" t="s">
        <v>11</v>
      </c>
      <c r="B31" s="77"/>
      <c r="C31" s="77"/>
      <c r="D31" s="51">
        <v>2019</v>
      </c>
      <c r="E31" s="51" t="s">
        <v>4</v>
      </c>
      <c r="F31" s="51"/>
      <c r="G31" s="51">
        <v>5100</v>
      </c>
      <c r="H31" s="60">
        <v>25628</v>
      </c>
      <c r="I31" s="52">
        <f t="shared" ref="I31" si="17">K31*G31</f>
        <v>68850</v>
      </c>
      <c r="J31" s="58"/>
      <c r="K31" s="53">
        <v>13.5</v>
      </c>
      <c r="L31" s="53">
        <f>K31/0.95</f>
        <v>14.210526315789474</v>
      </c>
      <c r="M31" s="51">
        <f>K31/0.8</f>
        <v>16.875</v>
      </c>
      <c r="N31" s="51">
        <f>M31/0.85</f>
        <v>19.852941176470587</v>
      </c>
      <c r="O31" s="51">
        <v>20</v>
      </c>
      <c r="P31" s="51">
        <f>O31*1.2</f>
        <v>24</v>
      </c>
    </row>
    <row r="32" spans="1:16" x14ac:dyDescent="0.25">
      <c r="A32" s="77" t="s">
        <v>11</v>
      </c>
      <c r="B32" s="77"/>
      <c r="C32" s="77"/>
      <c r="D32" s="51">
        <v>2019</v>
      </c>
      <c r="E32" s="51" t="s">
        <v>3</v>
      </c>
      <c r="F32" s="51"/>
      <c r="G32" s="51">
        <v>8000</v>
      </c>
      <c r="H32" s="52"/>
      <c r="I32" s="52"/>
      <c r="J32" s="58">
        <f>G32*K32</f>
        <v>104000</v>
      </c>
      <c r="K32" s="53">
        <v>13</v>
      </c>
      <c r="L32" s="53">
        <f>K32/0.95</f>
        <v>13.684210526315789</v>
      </c>
      <c r="M32" s="51">
        <f>K32/0.8</f>
        <v>16.25</v>
      </c>
      <c r="N32" s="51">
        <f>M32/0.85</f>
        <v>19.117647058823529</v>
      </c>
      <c r="O32" s="51">
        <v>19</v>
      </c>
      <c r="P32" s="51">
        <f>O32*1.2</f>
        <v>22.8</v>
      </c>
    </row>
    <row r="33" spans="1:16" x14ac:dyDescent="0.25">
      <c r="A33" s="77" t="s">
        <v>27</v>
      </c>
      <c r="B33" s="77"/>
      <c r="C33" s="77"/>
      <c r="D33" s="51">
        <v>2019</v>
      </c>
      <c r="E33" s="51" t="s">
        <v>3</v>
      </c>
      <c r="F33" s="51"/>
      <c r="G33" s="51">
        <v>860</v>
      </c>
      <c r="H33" s="52"/>
      <c r="I33" s="52"/>
      <c r="J33" s="58">
        <f>G33*K33</f>
        <v>27520</v>
      </c>
      <c r="K33" s="53">
        <v>32</v>
      </c>
      <c r="L33" s="53">
        <f>K33/0.95</f>
        <v>33.684210526315788</v>
      </c>
      <c r="M33" s="51">
        <f>K33/0.8</f>
        <v>40</v>
      </c>
      <c r="N33" s="51">
        <f>M33/0.85</f>
        <v>47.058823529411768</v>
      </c>
      <c r="O33" s="51">
        <v>48</v>
      </c>
      <c r="P33" s="51">
        <f>O33*1.2</f>
        <v>57.599999999999994</v>
      </c>
    </row>
    <row r="34" spans="1:16" x14ac:dyDescent="0.25">
      <c r="A34" s="69" t="s">
        <v>27</v>
      </c>
      <c r="B34" s="69"/>
      <c r="C34" s="69"/>
      <c r="D34" s="3">
        <v>2018</v>
      </c>
      <c r="E34" s="3" t="s">
        <v>3</v>
      </c>
      <c r="F34" s="3"/>
      <c r="G34" s="3">
        <v>267</v>
      </c>
      <c r="H34" s="5"/>
      <c r="I34" s="5"/>
      <c r="J34" s="59">
        <f>G34*K34</f>
        <v>7743</v>
      </c>
      <c r="K34" s="10">
        <v>29</v>
      </c>
      <c r="L34" s="17">
        <v>31.8</v>
      </c>
      <c r="M34" s="22">
        <v>36</v>
      </c>
      <c r="N34" s="3">
        <f t="shared" si="1"/>
        <v>50.823529411764703</v>
      </c>
      <c r="O34" s="26">
        <v>52</v>
      </c>
      <c r="P34" s="30">
        <v>52</v>
      </c>
    </row>
    <row r="35" spans="1:16" x14ac:dyDescent="0.25">
      <c r="A35" s="69" t="s">
        <v>27</v>
      </c>
      <c r="B35" s="69"/>
      <c r="C35" s="69"/>
      <c r="D35" s="3">
        <v>2017</v>
      </c>
      <c r="E35" s="3" t="s">
        <v>3</v>
      </c>
      <c r="F35" s="3"/>
      <c r="G35" s="3">
        <v>93</v>
      </c>
      <c r="H35" s="5"/>
      <c r="I35" s="5"/>
      <c r="J35" s="59">
        <f>G35*K35</f>
        <v>2511</v>
      </c>
      <c r="K35" s="10">
        <v>27</v>
      </c>
      <c r="L35" s="17">
        <v>31.8</v>
      </c>
      <c r="M35" s="22">
        <f t="shared" ref="M35" si="18">K35/0.8</f>
        <v>33.75</v>
      </c>
      <c r="N35" s="3">
        <f t="shared" ref="N35" si="19">M35/0.85*1.2</f>
        <v>47.647058823529406</v>
      </c>
      <c r="O35" s="26">
        <v>52</v>
      </c>
      <c r="P35" s="30">
        <v>41</v>
      </c>
    </row>
    <row r="36" spans="1:16" x14ac:dyDescent="0.25">
      <c r="A36" s="69" t="s">
        <v>27</v>
      </c>
      <c r="B36" s="69"/>
      <c r="C36" s="69"/>
      <c r="D36" s="3">
        <v>2012</v>
      </c>
      <c r="E36" s="3" t="s">
        <v>4</v>
      </c>
      <c r="F36" s="3"/>
      <c r="G36" s="3">
        <v>28</v>
      </c>
      <c r="H36" s="5"/>
      <c r="I36" s="5">
        <f>K36*G36</f>
        <v>728</v>
      </c>
      <c r="J36" s="59"/>
      <c r="K36" s="10">
        <v>26</v>
      </c>
      <c r="L36" s="17">
        <v>28</v>
      </c>
      <c r="M36" s="22">
        <f t="shared" si="16"/>
        <v>32.5</v>
      </c>
      <c r="N36" s="3">
        <f t="shared" si="1"/>
        <v>45.882352941176471</v>
      </c>
      <c r="O36" s="26">
        <v>46</v>
      </c>
      <c r="P36" s="30">
        <v>41</v>
      </c>
    </row>
    <row r="37" spans="1:16" x14ac:dyDescent="0.25">
      <c r="A37" s="69" t="s">
        <v>28</v>
      </c>
      <c r="B37" s="69"/>
      <c r="C37" s="69"/>
      <c r="D37" s="3">
        <v>2013</v>
      </c>
      <c r="E37" s="3" t="s">
        <v>4</v>
      </c>
      <c r="F37" s="3"/>
      <c r="G37" s="3">
        <v>409</v>
      </c>
      <c r="H37" s="5"/>
      <c r="I37" s="5">
        <f>K37*G37</f>
        <v>10225</v>
      </c>
      <c r="J37" s="59"/>
      <c r="K37" s="10">
        <v>25</v>
      </c>
      <c r="L37" s="17">
        <v>28</v>
      </c>
      <c r="M37" s="22">
        <v>32</v>
      </c>
      <c r="N37" s="3">
        <f t="shared" si="1"/>
        <v>45.176470588235297</v>
      </c>
      <c r="O37" s="26">
        <v>45</v>
      </c>
      <c r="P37" s="30">
        <v>41</v>
      </c>
    </row>
    <row r="38" spans="1:16" ht="24.75" customHeight="1" x14ac:dyDescent="0.25">
      <c r="A38" s="77" t="s">
        <v>20</v>
      </c>
      <c r="B38" s="77"/>
      <c r="C38" s="77"/>
      <c r="D38" s="51">
        <v>2019</v>
      </c>
      <c r="E38" s="51" t="s">
        <v>3</v>
      </c>
      <c r="F38" s="51"/>
      <c r="G38" s="51">
        <v>2600</v>
      </c>
      <c r="H38" s="52"/>
      <c r="I38" s="52"/>
      <c r="J38" s="58">
        <f>G38*K38</f>
        <v>78000</v>
      </c>
      <c r="K38" s="53">
        <v>30</v>
      </c>
      <c r="L38" s="53">
        <f>K38/0.95</f>
        <v>31.578947368421055</v>
      </c>
      <c r="M38" s="51">
        <f>K38/0.8</f>
        <v>37.5</v>
      </c>
      <c r="N38" s="51">
        <f>M38/0.85</f>
        <v>44.117647058823529</v>
      </c>
      <c r="O38" s="51">
        <v>45</v>
      </c>
      <c r="P38" s="51">
        <f>O38*1.2</f>
        <v>54</v>
      </c>
    </row>
    <row r="39" spans="1:16" ht="26.25" customHeight="1" x14ac:dyDescent="0.25">
      <c r="A39" s="69" t="s">
        <v>20</v>
      </c>
      <c r="B39" s="69"/>
      <c r="C39" s="69"/>
      <c r="D39" s="3">
        <v>2018</v>
      </c>
      <c r="E39" s="3" t="s">
        <v>3</v>
      </c>
      <c r="F39" s="3"/>
      <c r="G39" s="3">
        <v>193</v>
      </c>
      <c r="H39" s="5"/>
      <c r="I39" s="5"/>
      <c r="J39" s="59">
        <f>G39*K39</f>
        <v>5307.5</v>
      </c>
      <c r="K39" s="10">
        <v>27.5</v>
      </c>
      <c r="L39" s="17">
        <v>30</v>
      </c>
      <c r="M39" s="22">
        <v>34</v>
      </c>
      <c r="N39" s="3">
        <f t="shared" si="1"/>
        <v>48</v>
      </c>
      <c r="O39" s="26">
        <v>49</v>
      </c>
      <c r="P39" s="30">
        <v>49</v>
      </c>
    </row>
    <row r="40" spans="1:16" ht="21.75" customHeight="1" x14ac:dyDescent="0.25">
      <c r="A40" s="69" t="s">
        <v>20</v>
      </c>
      <c r="B40" s="69"/>
      <c r="C40" s="69"/>
      <c r="D40" s="3">
        <v>2017</v>
      </c>
      <c r="E40" s="3" t="s">
        <v>3</v>
      </c>
      <c r="F40" s="3"/>
      <c r="G40" s="3">
        <v>104</v>
      </c>
      <c r="H40" s="5"/>
      <c r="I40" s="5"/>
      <c r="J40" s="59">
        <f>G40*K40</f>
        <v>2860</v>
      </c>
      <c r="K40" s="10">
        <v>27.5</v>
      </c>
      <c r="L40" s="17">
        <v>27</v>
      </c>
      <c r="M40" s="22">
        <f t="shared" si="16"/>
        <v>34.375</v>
      </c>
      <c r="N40" s="3">
        <f t="shared" si="1"/>
        <v>48.529411764705884</v>
      </c>
      <c r="O40" s="26">
        <v>45</v>
      </c>
      <c r="P40" s="30">
        <v>40</v>
      </c>
    </row>
    <row r="41" spans="1:16" ht="24" customHeight="1" x14ac:dyDescent="0.25">
      <c r="A41" s="77" t="s">
        <v>12</v>
      </c>
      <c r="B41" s="77"/>
      <c r="C41" s="77"/>
      <c r="D41" s="51">
        <v>2019</v>
      </c>
      <c r="E41" s="51" t="s">
        <v>4</v>
      </c>
      <c r="F41" s="51"/>
      <c r="G41" s="51">
        <v>1720</v>
      </c>
      <c r="H41" s="52"/>
      <c r="I41" s="52">
        <f t="shared" ref="I41" si="20">K41*G41</f>
        <v>55040</v>
      </c>
      <c r="J41" s="58"/>
      <c r="K41" s="53">
        <v>32</v>
      </c>
      <c r="L41" s="53">
        <v>35</v>
      </c>
      <c r="M41" s="51">
        <v>39</v>
      </c>
      <c r="N41" s="51">
        <f t="shared" ref="N41" si="21">M41/0.85*1.2</f>
        <v>55.058823529411761</v>
      </c>
      <c r="O41" s="51">
        <v>55</v>
      </c>
      <c r="P41" s="51">
        <v>55</v>
      </c>
    </row>
    <row r="42" spans="1:16" x14ac:dyDescent="0.25">
      <c r="A42" s="69" t="s">
        <v>12</v>
      </c>
      <c r="B42" s="69"/>
      <c r="C42" s="69"/>
      <c r="D42" s="3">
        <v>2018</v>
      </c>
      <c r="E42" s="3" t="s">
        <v>4</v>
      </c>
      <c r="F42" s="3"/>
      <c r="G42" s="3">
        <v>72</v>
      </c>
      <c r="H42" s="5"/>
      <c r="I42" s="5">
        <f>K42*G42</f>
        <v>2232</v>
      </c>
      <c r="J42" s="59"/>
      <c r="K42" s="10">
        <v>31</v>
      </c>
      <c r="L42" s="17">
        <v>35</v>
      </c>
      <c r="M42" s="22">
        <v>39</v>
      </c>
      <c r="N42" s="3">
        <f t="shared" si="1"/>
        <v>55.058823529411761</v>
      </c>
      <c r="O42" s="26">
        <v>55</v>
      </c>
      <c r="P42" s="30">
        <v>55</v>
      </c>
    </row>
    <row r="43" spans="1:16" x14ac:dyDescent="0.25">
      <c r="A43" s="69" t="s">
        <v>12</v>
      </c>
      <c r="B43" s="69"/>
      <c r="C43" s="69"/>
      <c r="D43" s="3">
        <v>2017</v>
      </c>
      <c r="E43" s="3" t="s">
        <v>4</v>
      </c>
      <c r="F43" s="3"/>
      <c r="G43" s="3">
        <v>713</v>
      </c>
      <c r="H43" s="5"/>
      <c r="I43" s="5">
        <f>K43*G43</f>
        <v>21390</v>
      </c>
      <c r="J43" s="59"/>
      <c r="K43" s="10">
        <v>30</v>
      </c>
      <c r="L43" s="17">
        <v>31.6</v>
      </c>
      <c r="M43" s="22">
        <f t="shared" si="16"/>
        <v>37.5</v>
      </c>
      <c r="N43" s="3">
        <f t="shared" si="1"/>
        <v>52.941176470588232</v>
      </c>
      <c r="O43" s="26">
        <v>53</v>
      </c>
      <c r="P43" s="30">
        <v>50</v>
      </c>
    </row>
    <row r="44" spans="1:16" x14ac:dyDescent="0.25">
      <c r="A44" s="77" t="s">
        <v>44</v>
      </c>
      <c r="B44" s="77"/>
      <c r="C44" s="77"/>
      <c r="D44" s="51">
        <v>2019</v>
      </c>
      <c r="E44" s="51" t="s">
        <v>4</v>
      </c>
      <c r="F44" s="51"/>
      <c r="G44" s="51">
        <v>1430</v>
      </c>
      <c r="H44" s="60">
        <v>30590</v>
      </c>
      <c r="I44" s="52">
        <f t="shared" ref="I44" si="22">K44*G44</f>
        <v>85800</v>
      </c>
      <c r="J44" s="58"/>
      <c r="K44" s="53">
        <v>60</v>
      </c>
      <c r="L44" s="53">
        <f>K44/0.95</f>
        <v>63.15789473684211</v>
      </c>
      <c r="M44" s="51">
        <f>K44/0.8</f>
        <v>75</v>
      </c>
      <c r="N44" s="51">
        <f>M44/0.85</f>
        <v>88.235294117647058</v>
      </c>
      <c r="O44" s="51">
        <v>67</v>
      </c>
      <c r="P44" s="51">
        <f>O44*1.2</f>
        <v>80.399999999999991</v>
      </c>
    </row>
    <row r="45" spans="1:16" x14ac:dyDescent="0.25">
      <c r="A45" s="77" t="s">
        <v>43</v>
      </c>
      <c r="B45" s="77"/>
      <c r="C45" s="77"/>
      <c r="D45" s="51">
        <v>2019</v>
      </c>
      <c r="E45" s="51" t="s">
        <v>4</v>
      </c>
      <c r="F45" s="51"/>
      <c r="G45" s="51">
        <v>1300</v>
      </c>
      <c r="H45" s="60">
        <v>18675</v>
      </c>
      <c r="I45" s="52">
        <f t="shared" ref="I45" si="23">K45*G45</f>
        <v>45500</v>
      </c>
      <c r="J45" s="58"/>
      <c r="K45" s="53">
        <v>35</v>
      </c>
      <c r="L45" s="53">
        <f>K45/0.95</f>
        <v>36.842105263157897</v>
      </c>
      <c r="M45" s="51">
        <f>K45/0.8</f>
        <v>43.75</v>
      </c>
      <c r="N45" s="51">
        <f>M45/0.85</f>
        <v>51.470588235294116</v>
      </c>
      <c r="O45" s="51">
        <v>52</v>
      </c>
      <c r="P45" s="51">
        <f>O45*1.2</f>
        <v>62.4</v>
      </c>
    </row>
    <row r="46" spans="1:16" x14ac:dyDescent="0.25">
      <c r="A46" s="69" t="s">
        <v>13</v>
      </c>
      <c r="B46" s="69"/>
      <c r="C46" s="69"/>
      <c r="D46" s="3">
        <v>2018</v>
      </c>
      <c r="E46" s="3" t="s">
        <v>4</v>
      </c>
      <c r="F46" s="3"/>
      <c r="G46" s="3">
        <v>39</v>
      </c>
      <c r="H46" s="5"/>
      <c r="I46" s="5">
        <f>K46*G46</f>
        <v>1326</v>
      </c>
      <c r="J46" s="5"/>
      <c r="K46" s="10">
        <v>34</v>
      </c>
      <c r="L46" s="17">
        <v>37</v>
      </c>
      <c r="M46" s="22">
        <f t="shared" si="16"/>
        <v>42.5</v>
      </c>
      <c r="N46" s="3">
        <f t="shared" si="1"/>
        <v>60</v>
      </c>
      <c r="O46" s="26">
        <v>60</v>
      </c>
      <c r="P46" s="30">
        <v>60</v>
      </c>
    </row>
    <row r="47" spans="1:16" x14ac:dyDescent="0.25">
      <c r="A47" s="69" t="s">
        <v>13</v>
      </c>
      <c r="B47" s="69"/>
      <c r="C47" s="69"/>
      <c r="D47" s="3">
        <v>2017</v>
      </c>
      <c r="E47" s="3" t="s">
        <v>4</v>
      </c>
      <c r="F47" s="3"/>
      <c r="G47" s="3">
        <v>449</v>
      </c>
      <c r="H47" s="5"/>
      <c r="I47" s="5">
        <f>K47*G47</f>
        <v>14368</v>
      </c>
      <c r="J47" s="5"/>
      <c r="K47" s="10">
        <v>32</v>
      </c>
      <c r="L47" s="17">
        <v>34</v>
      </c>
      <c r="M47" s="22">
        <f t="shared" si="16"/>
        <v>40</v>
      </c>
      <c r="N47" s="3">
        <f t="shared" si="1"/>
        <v>56.470588235294123</v>
      </c>
      <c r="O47" s="26">
        <v>57</v>
      </c>
      <c r="P47" s="30">
        <v>52</v>
      </c>
    </row>
    <row r="48" spans="1:16" x14ac:dyDescent="0.25">
      <c r="A48" s="69" t="s">
        <v>13</v>
      </c>
      <c r="B48" s="69"/>
      <c r="C48" s="69"/>
      <c r="D48" s="3">
        <v>2016</v>
      </c>
      <c r="E48" s="3" t="s">
        <v>4</v>
      </c>
      <c r="F48" s="3"/>
      <c r="G48" s="3">
        <v>163</v>
      </c>
      <c r="H48" s="5"/>
      <c r="I48" s="5">
        <f>K48*G48</f>
        <v>5216</v>
      </c>
      <c r="J48" s="5"/>
      <c r="K48" s="10">
        <v>32</v>
      </c>
      <c r="L48" s="17">
        <v>34</v>
      </c>
      <c r="M48" s="22">
        <f t="shared" si="16"/>
        <v>40</v>
      </c>
      <c r="N48" s="3">
        <f t="shared" si="1"/>
        <v>56.470588235294123</v>
      </c>
      <c r="O48" s="26">
        <v>57</v>
      </c>
      <c r="P48" s="30">
        <v>52</v>
      </c>
    </row>
    <row r="49" spans="1:16" x14ac:dyDescent="0.25">
      <c r="A49" s="69" t="s">
        <v>13</v>
      </c>
      <c r="B49" s="69"/>
      <c r="C49" s="69"/>
      <c r="D49" s="3">
        <v>2015</v>
      </c>
      <c r="E49" s="3" t="s">
        <v>4</v>
      </c>
      <c r="F49" s="3"/>
      <c r="G49" s="3">
        <v>178</v>
      </c>
      <c r="H49" s="5"/>
      <c r="I49" s="5">
        <f>K49*G49</f>
        <v>5696</v>
      </c>
      <c r="J49" s="5"/>
      <c r="K49" s="10">
        <v>32</v>
      </c>
      <c r="L49" s="17">
        <v>34</v>
      </c>
      <c r="M49" s="22">
        <v>43.5</v>
      </c>
      <c r="N49" s="3">
        <v>57</v>
      </c>
      <c r="O49" s="26">
        <v>57</v>
      </c>
      <c r="P49" s="30">
        <v>52</v>
      </c>
    </row>
    <row r="50" spans="1:16" x14ac:dyDescent="0.25">
      <c r="A50" s="78" t="s">
        <v>26</v>
      </c>
      <c r="B50" s="79"/>
      <c r="C50" s="80"/>
      <c r="D50" s="51">
        <v>2019</v>
      </c>
      <c r="E50" s="51" t="s">
        <v>3</v>
      </c>
      <c r="F50" s="51"/>
      <c r="G50" s="51">
        <v>2000</v>
      </c>
      <c r="H50" s="52"/>
      <c r="I50" s="52"/>
      <c r="J50" s="5">
        <f>G50*K50</f>
        <v>76000</v>
      </c>
      <c r="K50" s="53">
        <v>38</v>
      </c>
      <c r="L50" s="53">
        <v>40</v>
      </c>
      <c r="M50" s="51">
        <v>44</v>
      </c>
      <c r="N50" s="51">
        <f t="shared" ref="N50" si="24">M50/0.85*1.2</f>
        <v>62.117647058823529</v>
      </c>
      <c r="O50" s="51">
        <v>62</v>
      </c>
      <c r="P50" s="51">
        <v>62</v>
      </c>
    </row>
    <row r="51" spans="1:16" x14ac:dyDescent="0.25">
      <c r="A51" s="70" t="s">
        <v>26</v>
      </c>
      <c r="B51" s="71"/>
      <c r="C51" s="72"/>
      <c r="D51" s="3">
        <v>2018</v>
      </c>
      <c r="E51" s="3" t="s">
        <v>3</v>
      </c>
      <c r="F51" s="3"/>
      <c r="G51" s="3">
        <v>140</v>
      </c>
      <c r="H51" s="5"/>
      <c r="I51" s="5"/>
      <c r="J51" s="5">
        <f>G51*K51</f>
        <v>4900</v>
      </c>
      <c r="K51" s="10">
        <v>35</v>
      </c>
      <c r="L51" s="17">
        <v>37</v>
      </c>
      <c r="M51" s="22">
        <v>44</v>
      </c>
      <c r="N51" s="3">
        <f t="shared" si="1"/>
        <v>62.117647058823529</v>
      </c>
      <c r="O51" s="26">
        <v>62</v>
      </c>
      <c r="P51" s="30">
        <v>62</v>
      </c>
    </row>
    <row r="52" spans="1:16" x14ac:dyDescent="0.25">
      <c r="A52" s="77" t="s">
        <v>18</v>
      </c>
      <c r="B52" s="77"/>
      <c r="C52" s="77"/>
      <c r="D52" s="51">
        <v>2019</v>
      </c>
      <c r="E52" s="51" t="s">
        <v>3</v>
      </c>
      <c r="F52" s="51"/>
      <c r="G52" s="51">
        <v>8300</v>
      </c>
      <c r="H52" s="52"/>
      <c r="I52" s="52"/>
      <c r="J52" s="52">
        <f t="shared" ref="J52" si="25">G52*K52</f>
        <v>332000</v>
      </c>
      <c r="K52" s="53">
        <v>40</v>
      </c>
      <c r="L52" s="53">
        <f>K52/0.95</f>
        <v>42.10526315789474</v>
      </c>
      <c r="M52" s="51">
        <f>K52/0.8</f>
        <v>50</v>
      </c>
      <c r="N52" s="51">
        <f>M52/0.85</f>
        <v>58.82352941176471</v>
      </c>
      <c r="O52" s="51">
        <v>58</v>
      </c>
      <c r="P52" s="51">
        <f>O52*1.2</f>
        <v>69.599999999999994</v>
      </c>
    </row>
    <row r="53" spans="1:16" x14ac:dyDescent="0.25">
      <c r="A53" s="69" t="s">
        <v>18</v>
      </c>
      <c r="B53" s="69"/>
      <c r="C53" s="69"/>
      <c r="D53" s="3">
        <v>2018</v>
      </c>
      <c r="E53" s="3" t="s">
        <v>3</v>
      </c>
      <c r="F53" s="3"/>
      <c r="G53" s="3">
        <v>189</v>
      </c>
      <c r="H53" s="5"/>
      <c r="I53" s="5"/>
      <c r="J53" s="5">
        <f>G53*K53</f>
        <v>6615</v>
      </c>
      <c r="K53" s="10">
        <v>35</v>
      </c>
      <c r="L53" s="17">
        <v>37</v>
      </c>
      <c r="M53" s="22">
        <v>43.5</v>
      </c>
      <c r="N53" s="3">
        <f t="shared" si="1"/>
        <v>61.411764705882355</v>
      </c>
      <c r="O53" s="26">
        <v>62</v>
      </c>
      <c r="P53" s="30">
        <v>62</v>
      </c>
    </row>
    <row r="54" spans="1:16" x14ac:dyDescent="0.25">
      <c r="A54" s="69" t="s">
        <v>18</v>
      </c>
      <c r="B54" s="69"/>
      <c r="C54" s="69"/>
      <c r="D54" s="3">
        <v>2017</v>
      </c>
      <c r="E54" s="3" t="s">
        <v>3</v>
      </c>
      <c r="F54" s="3"/>
      <c r="G54" s="3">
        <v>51</v>
      </c>
      <c r="H54" s="5"/>
      <c r="I54" s="5"/>
      <c r="J54" s="5">
        <f>G54*K54</f>
        <v>1632</v>
      </c>
      <c r="K54" s="10">
        <v>32</v>
      </c>
      <c r="L54" s="17">
        <v>34</v>
      </c>
      <c r="M54" s="22">
        <f t="shared" si="16"/>
        <v>40</v>
      </c>
      <c r="N54" s="3">
        <f t="shared" si="1"/>
        <v>56.470588235294123</v>
      </c>
      <c r="O54" s="26">
        <v>57</v>
      </c>
      <c r="P54" s="30">
        <v>55</v>
      </c>
    </row>
    <row r="55" spans="1:16" x14ac:dyDescent="0.25">
      <c r="A55" s="69" t="s">
        <v>18</v>
      </c>
      <c r="B55" s="69"/>
      <c r="C55" s="69"/>
      <c r="D55" s="3">
        <v>2016</v>
      </c>
      <c r="E55" s="3" t="s">
        <v>3</v>
      </c>
      <c r="F55" s="3"/>
      <c r="G55" s="3">
        <v>54</v>
      </c>
      <c r="H55" s="5"/>
      <c r="I55" s="5"/>
      <c r="J55" s="5">
        <f>G55*K55</f>
        <v>1728</v>
      </c>
      <c r="K55" s="10">
        <v>32</v>
      </c>
      <c r="L55" s="17">
        <v>34</v>
      </c>
      <c r="M55" s="22">
        <f t="shared" si="16"/>
        <v>40</v>
      </c>
      <c r="N55" s="3">
        <f t="shared" si="1"/>
        <v>56.470588235294123</v>
      </c>
      <c r="O55" s="26">
        <v>57</v>
      </c>
      <c r="P55" s="30">
        <v>55</v>
      </c>
    </row>
    <row r="56" spans="1:16" x14ac:dyDescent="0.25">
      <c r="A56" s="77" t="s">
        <v>19</v>
      </c>
      <c r="B56" s="77"/>
      <c r="C56" s="77"/>
      <c r="D56" s="51">
        <v>2019</v>
      </c>
      <c r="E56" s="51" t="s">
        <v>3</v>
      </c>
      <c r="F56" s="51"/>
      <c r="G56" s="51">
        <v>1300</v>
      </c>
      <c r="H56" s="52"/>
      <c r="I56" s="52"/>
      <c r="J56" s="52">
        <f t="shared" ref="J56" si="26">G56*K56</f>
        <v>45500</v>
      </c>
      <c r="K56" s="53">
        <v>35</v>
      </c>
      <c r="L56" s="53">
        <f>K56/0.95</f>
        <v>36.842105263157897</v>
      </c>
      <c r="M56" s="51">
        <f>K56/0.8</f>
        <v>43.75</v>
      </c>
      <c r="N56" s="51">
        <f>M56/0.85</f>
        <v>51.470588235294116</v>
      </c>
      <c r="O56" s="51">
        <v>52</v>
      </c>
      <c r="P56" s="51">
        <f>O56*1.2</f>
        <v>62.4</v>
      </c>
    </row>
    <row r="57" spans="1:16" x14ac:dyDescent="0.25">
      <c r="A57" s="69" t="s">
        <v>19</v>
      </c>
      <c r="B57" s="69"/>
      <c r="C57" s="69"/>
      <c r="D57" s="3">
        <v>2018</v>
      </c>
      <c r="E57" s="3" t="s">
        <v>3</v>
      </c>
      <c r="F57" s="3"/>
      <c r="G57" s="3">
        <v>196</v>
      </c>
      <c r="H57" s="5"/>
      <c r="I57" s="5"/>
      <c r="J57" s="5">
        <f>G57*K57</f>
        <v>6860</v>
      </c>
      <c r="K57" s="10">
        <v>35</v>
      </c>
      <c r="L57" s="17">
        <v>37</v>
      </c>
      <c r="M57" s="22">
        <v>43.5</v>
      </c>
      <c r="N57" s="3">
        <f t="shared" si="1"/>
        <v>61.411764705882355</v>
      </c>
      <c r="O57" s="26">
        <v>62</v>
      </c>
      <c r="P57" s="30">
        <v>62</v>
      </c>
    </row>
    <row r="58" spans="1:16" ht="26.25" customHeight="1" x14ac:dyDescent="0.25">
      <c r="A58" s="77" t="s">
        <v>42</v>
      </c>
      <c r="B58" s="77"/>
      <c r="C58" s="77"/>
      <c r="D58" s="51">
        <v>2019</v>
      </c>
      <c r="E58" s="51" t="s">
        <v>3</v>
      </c>
      <c r="F58" s="51"/>
      <c r="G58" s="51">
        <v>500</v>
      </c>
      <c r="H58" s="52"/>
      <c r="I58" s="52"/>
      <c r="J58" s="52">
        <f t="shared" ref="J58" si="27">G58*K58</f>
        <v>47500</v>
      </c>
      <c r="K58" s="53">
        <v>95</v>
      </c>
      <c r="L58" s="53">
        <f>K58/0.95</f>
        <v>100</v>
      </c>
      <c r="M58" s="51">
        <f>K58/0.8</f>
        <v>118.75</v>
      </c>
      <c r="N58" s="51">
        <f t="shared" ref="N58" si="28">M58/0.85*1.2</f>
        <v>167.64705882352942</v>
      </c>
      <c r="O58" s="51">
        <v>168</v>
      </c>
      <c r="P58" s="51">
        <f>O58*1.2</f>
        <v>201.6</v>
      </c>
    </row>
    <row r="59" spans="1:16" x14ac:dyDescent="0.25">
      <c r="A59" s="69" t="s">
        <v>25</v>
      </c>
      <c r="B59" s="69"/>
      <c r="C59" s="69"/>
      <c r="D59" s="3">
        <v>2018</v>
      </c>
      <c r="E59" s="3" t="s">
        <v>3</v>
      </c>
      <c r="F59" s="3"/>
      <c r="G59" s="3">
        <v>32</v>
      </c>
      <c r="H59" s="5"/>
      <c r="I59" s="5"/>
      <c r="J59" s="5">
        <f>G59*K59</f>
        <v>1120</v>
      </c>
      <c r="K59" s="10">
        <v>35</v>
      </c>
      <c r="L59" s="17">
        <v>38</v>
      </c>
      <c r="M59" s="22">
        <v>43.5</v>
      </c>
      <c r="N59" s="3">
        <f t="shared" si="1"/>
        <v>61.411764705882355</v>
      </c>
      <c r="O59" s="26">
        <v>62</v>
      </c>
      <c r="P59" s="30">
        <v>62</v>
      </c>
    </row>
    <row r="60" spans="1:16" x14ac:dyDescent="0.25">
      <c r="A60" s="77" t="s">
        <v>37</v>
      </c>
      <c r="B60" s="77"/>
      <c r="C60" s="77"/>
      <c r="D60" s="51">
        <v>2019</v>
      </c>
      <c r="E60" s="51" t="s">
        <v>4</v>
      </c>
      <c r="F60" s="51"/>
      <c r="G60" s="51">
        <v>575</v>
      </c>
      <c r="H60" s="60">
        <v>18000</v>
      </c>
      <c r="I60" s="52">
        <f t="shared" ref="I60" si="29">K60*G60</f>
        <v>43125</v>
      </c>
      <c r="J60" s="52"/>
      <c r="K60" s="53">
        <v>75</v>
      </c>
      <c r="L60" s="53">
        <f>K60/0.95</f>
        <v>78.94736842105263</v>
      </c>
      <c r="M60" s="51">
        <f>K60/0.8</f>
        <v>93.75</v>
      </c>
      <c r="N60" s="51">
        <f>M60/0.85</f>
        <v>110.29411764705883</v>
      </c>
      <c r="O60" s="51">
        <v>96</v>
      </c>
      <c r="P60" s="51">
        <v>126</v>
      </c>
    </row>
    <row r="61" spans="1:16" x14ac:dyDescent="0.25">
      <c r="A61" s="69" t="s">
        <v>37</v>
      </c>
      <c r="B61" s="69"/>
      <c r="C61" s="69"/>
      <c r="D61" s="3">
        <v>2018</v>
      </c>
      <c r="E61" s="3" t="s">
        <v>4</v>
      </c>
      <c r="F61" s="3"/>
      <c r="G61" s="3">
        <v>21</v>
      </c>
      <c r="H61" s="5"/>
      <c r="I61" s="5">
        <f>K61*G61</f>
        <v>1260</v>
      </c>
      <c r="J61" s="5"/>
      <c r="K61" s="10">
        <v>60</v>
      </c>
      <c r="L61" s="17">
        <v>63</v>
      </c>
      <c r="M61" s="22">
        <f t="shared" si="16"/>
        <v>75</v>
      </c>
      <c r="N61" s="3">
        <f t="shared" si="1"/>
        <v>105.88235294117646</v>
      </c>
      <c r="O61" s="26">
        <v>106</v>
      </c>
      <c r="P61" s="30">
        <v>106</v>
      </c>
    </row>
    <row r="62" spans="1:16" x14ac:dyDescent="0.25">
      <c r="A62" s="77" t="s">
        <v>14</v>
      </c>
      <c r="B62" s="77"/>
      <c r="C62" s="77"/>
      <c r="D62" s="51">
        <v>2019</v>
      </c>
      <c r="E62" s="51" t="s">
        <v>3</v>
      </c>
      <c r="F62" s="51"/>
      <c r="G62" s="51">
        <v>1430</v>
      </c>
      <c r="H62" s="52"/>
      <c r="I62" s="52"/>
      <c r="J62" s="52">
        <f t="shared" ref="J62" si="30">G62*K62</f>
        <v>68640</v>
      </c>
      <c r="K62" s="53">
        <v>48</v>
      </c>
      <c r="L62" s="53">
        <f>K62/0.95</f>
        <v>50.526315789473685</v>
      </c>
      <c r="M62" s="51">
        <f>K62/0.8</f>
        <v>60</v>
      </c>
      <c r="N62" s="51">
        <f>M62/0.85</f>
        <v>70.588235294117652</v>
      </c>
      <c r="O62" s="51">
        <v>67</v>
      </c>
      <c r="P62" s="51">
        <f>O62*1.2</f>
        <v>80.399999999999991</v>
      </c>
    </row>
    <row r="63" spans="1:16" x14ac:dyDescent="0.25">
      <c r="A63" s="69" t="s">
        <v>14</v>
      </c>
      <c r="B63" s="69"/>
      <c r="C63" s="69"/>
      <c r="D63" s="3">
        <v>2018</v>
      </c>
      <c r="E63" s="3" t="s">
        <v>3</v>
      </c>
      <c r="F63" s="3"/>
      <c r="G63" s="3">
        <v>540</v>
      </c>
      <c r="H63" s="5"/>
      <c r="I63" s="5"/>
      <c r="J63" s="5">
        <f>G63*K63</f>
        <v>24030</v>
      </c>
      <c r="K63" s="10">
        <v>44.5</v>
      </c>
      <c r="L63" s="17">
        <v>47</v>
      </c>
      <c r="M63" s="22">
        <v>55</v>
      </c>
      <c r="N63" s="3">
        <f t="shared" si="1"/>
        <v>77.647058823529406</v>
      </c>
      <c r="O63" s="26">
        <v>79</v>
      </c>
      <c r="P63" s="30">
        <v>75</v>
      </c>
    </row>
    <row r="64" spans="1:16" x14ac:dyDescent="0.25">
      <c r="A64" s="69" t="s">
        <v>14</v>
      </c>
      <c r="B64" s="69"/>
      <c r="C64" s="69"/>
      <c r="D64" s="3">
        <v>2017</v>
      </c>
      <c r="E64" s="3" t="s">
        <v>3</v>
      </c>
      <c r="F64" s="3"/>
      <c r="G64" s="3">
        <v>150</v>
      </c>
      <c r="H64" s="5"/>
      <c r="I64" s="5"/>
      <c r="J64" s="5">
        <f>G64*K64</f>
        <v>6000</v>
      </c>
      <c r="K64" s="10">
        <v>40</v>
      </c>
      <c r="L64" s="17">
        <v>45</v>
      </c>
      <c r="M64" s="22">
        <f t="shared" si="16"/>
        <v>50</v>
      </c>
      <c r="N64" s="3">
        <f t="shared" si="1"/>
        <v>70.588235294117652</v>
      </c>
      <c r="O64" s="26">
        <v>71</v>
      </c>
      <c r="P64" s="30">
        <v>60</v>
      </c>
    </row>
    <row r="65" spans="1:16" x14ac:dyDescent="0.25">
      <c r="A65" s="69" t="s">
        <v>14</v>
      </c>
      <c r="B65" s="69"/>
      <c r="C65" s="69"/>
      <c r="D65" s="3">
        <v>2016</v>
      </c>
      <c r="E65" s="3" t="s">
        <v>3</v>
      </c>
      <c r="F65" s="3"/>
      <c r="G65" s="3">
        <v>70</v>
      </c>
      <c r="H65" s="5"/>
      <c r="I65" s="5"/>
      <c r="J65" s="5">
        <f t="shared" ref="J65" si="31">G65*K65</f>
        <v>2800</v>
      </c>
      <c r="K65" s="10">
        <v>40</v>
      </c>
      <c r="L65" s="17">
        <v>45</v>
      </c>
      <c r="M65" s="22">
        <f t="shared" ref="M65" si="32">K65/0.8</f>
        <v>50</v>
      </c>
      <c r="N65" s="3">
        <f t="shared" ref="N65" si="33">M65/0.85*1.2</f>
        <v>70.588235294117652</v>
      </c>
      <c r="O65" s="26">
        <v>71</v>
      </c>
      <c r="P65" s="30">
        <v>60</v>
      </c>
    </row>
    <row r="66" spans="1:16" x14ac:dyDescent="0.25">
      <c r="A66" s="69" t="s">
        <v>14</v>
      </c>
      <c r="B66" s="69"/>
      <c r="C66" s="69"/>
      <c r="D66" s="3">
        <v>2006</v>
      </c>
      <c r="E66" s="3" t="s">
        <v>3</v>
      </c>
      <c r="F66" s="3"/>
      <c r="G66" s="3">
        <v>67</v>
      </c>
      <c r="H66" s="5"/>
      <c r="I66" s="5"/>
      <c r="J66" s="5">
        <f t="shared" ref="J66:J67" si="34">G66*K66</f>
        <v>2680</v>
      </c>
      <c r="K66" s="10">
        <v>40</v>
      </c>
      <c r="L66" s="17">
        <v>45</v>
      </c>
      <c r="M66" s="22">
        <f t="shared" ref="M66:M67" si="35">K66/0.8</f>
        <v>50</v>
      </c>
      <c r="N66" s="3">
        <f t="shared" ref="N66:N67" si="36">M66/0.85*1.2</f>
        <v>70.588235294117652</v>
      </c>
      <c r="O66" s="26">
        <v>71</v>
      </c>
      <c r="P66" s="30">
        <v>60</v>
      </c>
    </row>
    <row r="67" spans="1:16" x14ac:dyDescent="0.25">
      <c r="A67" s="69" t="s">
        <v>14</v>
      </c>
      <c r="B67" s="69"/>
      <c r="C67" s="69"/>
      <c r="D67" s="3">
        <v>2004</v>
      </c>
      <c r="E67" s="3" t="s">
        <v>3</v>
      </c>
      <c r="F67" s="3"/>
      <c r="G67" s="3">
        <v>22</v>
      </c>
      <c r="H67" s="5"/>
      <c r="I67" s="5"/>
      <c r="J67" s="5">
        <f t="shared" si="34"/>
        <v>880</v>
      </c>
      <c r="K67" s="10">
        <v>40</v>
      </c>
      <c r="L67" s="17">
        <v>45</v>
      </c>
      <c r="M67" s="22">
        <f t="shared" si="35"/>
        <v>50</v>
      </c>
      <c r="N67" s="3">
        <f t="shared" si="36"/>
        <v>70.588235294117652</v>
      </c>
      <c r="O67" s="26">
        <v>71</v>
      </c>
      <c r="P67" s="30">
        <v>60</v>
      </c>
    </row>
    <row r="68" spans="1:16" x14ac:dyDescent="0.25">
      <c r="A68" s="78" t="s">
        <v>21</v>
      </c>
      <c r="B68" s="79"/>
      <c r="C68" s="80"/>
      <c r="D68" s="51">
        <v>2019</v>
      </c>
      <c r="E68" s="51" t="s">
        <v>3</v>
      </c>
      <c r="F68" s="51"/>
      <c r="G68" s="51">
        <v>1290</v>
      </c>
      <c r="H68" s="52"/>
      <c r="I68" s="52"/>
      <c r="J68" s="52">
        <f t="shared" ref="J68" si="37">G68*K68</f>
        <v>61920</v>
      </c>
      <c r="K68" s="53">
        <v>48</v>
      </c>
      <c r="L68" s="53">
        <f>K68/0.95</f>
        <v>50.526315789473685</v>
      </c>
      <c r="M68" s="51">
        <f>K68/0.8</f>
        <v>60</v>
      </c>
      <c r="N68" s="51">
        <f>M68/0.85</f>
        <v>70.588235294117652</v>
      </c>
      <c r="O68" s="51">
        <v>67</v>
      </c>
      <c r="P68" s="51">
        <f>O68*1.2</f>
        <v>80.399999999999991</v>
      </c>
    </row>
    <row r="69" spans="1:16" x14ac:dyDescent="0.25">
      <c r="A69" s="70" t="s">
        <v>21</v>
      </c>
      <c r="B69" s="71"/>
      <c r="C69" s="72"/>
      <c r="D69" s="3">
        <v>2018</v>
      </c>
      <c r="E69" s="3" t="s">
        <v>3</v>
      </c>
      <c r="F69" s="3"/>
      <c r="G69" s="3">
        <v>125</v>
      </c>
      <c r="H69" s="5"/>
      <c r="I69" s="5"/>
      <c r="J69" s="5">
        <f>G69*K69</f>
        <v>5562.5</v>
      </c>
      <c r="K69" s="10">
        <v>44.5</v>
      </c>
      <c r="L69" s="17">
        <v>47</v>
      </c>
      <c r="M69" s="22">
        <v>55</v>
      </c>
      <c r="N69" s="36">
        <f>M69/0.85</f>
        <v>64.705882352941174</v>
      </c>
      <c r="O69" s="26">
        <v>79</v>
      </c>
      <c r="P69" s="30">
        <v>75</v>
      </c>
    </row>
    <row r="70" spans="1:16" x14ac:dyDescent="0.25">
      <c r="A70" s="78" t="s">
        <v>48</v>
      </c>
      <c r="B70" s="79"/>
      <c r="C70" s="80"/>
      <c r="D70" s="51">
        <v>2019</v>
      </c>
      <c r="E70" s="51" t="s">
        <v>3</v>
      </c>
      <c r="F70" s="51"/>
      <c r="G70" s="51">
        <v>144</v>
      </c>
      <c r="H70" s="52"/>
      <c r="I70" s="52"/>
      <c r="J70" s="52">
        <f t="shared" ref="J70" si="38">G70*K70</f>
        <v>16560</v>
      </c>
      <c r="K70" s="53">
        <v>115</v>
      </c>
      <c r="L70" s="53">
        <f>K70/0.95</f>
        <v>121.05263157894737</v>
      </c>
      <c r="M70" s="51">
        <f>K70/0.8</f>
        <v>143.75</v>
      </c>
      <c r="N70" s="51">
        <f>M70*0.85</f>
        <v>122.1875</v>
      </c>
      <c r="O70" s="51">
        <v>117</v>
      </c>
      <c r="P70" s="51">
        <f>O70*1.2</f>
        <v>140.4</v>
      </c>
    </row>
    <row r="71" spans="1:16" x14ac:dyDescent="0.25">
      <c r="A71" s="70" t="s">
        <v>22</v>
      </c>
      <c r="B71" s="71"/>
      <c r="C71" s="72"/>
      <c r="D71" s="3">
        <v>2018</v>
      </c>
      <c r="E71" s="3" t="s">
        <v>3</v>
      </c>
      <c r="F71" s="3"/>
      <c r="G71" s="3">
        <v>118</v>
      </c>
      <c r="H71" s="5"/>
      <c r="I71" s="5"/>
      <c r="J71" s="5">
        <f>G71*K71</f>
        <v>5251</v>
      </c>
      <c r="K71" s="10">
        <v>44.5</v>
      </c>
      <c r="L71" s="17">
        <v>47</v>
      </c>
      <c r="M71" s="22">
        <v>55</v>
      </c>
      <c r="N71" s="3">
        <f t="shared" si="1"/>
        <v>77.647058823529406</v>
      </c>
      <c r="O71" s="26">
        <v>79</v>
      </c>
      <c r="P71" s="30">
        <v>75</v>
      </c>
    </row>
    <row r="72" spans="1:16" x14ac:dyDescent="0.25">
      <c r="A72" s="70" t="s">
        <v>22</v>
      </c>
      <c r="B72" s="71"/>
      <c r="C72" s="72"/>
      <c r="D72" s="3">
        <v>2017</v>
      </c>
      <c r="E72" s="3" t="s">
        <v>3</v>
      </c>
      <c r="F72" s="3"/>
      <c r="G72" s="3">
        <v>35</v>
      </c>
      <c r="H72" s="5"/>
      <c r="I72" s="5"/>
      <c r="J72" s="5">
        <f t="shared" ref="J72" si="39">G72*K72</f>
        <v>1400</v>
      </c>
      <c r="K72" s="10">
        <v>40</v>
      </c>
      <c r="L72" s="17">
        <v>50</v>
      </c>
      <c r="M72" s="22">
        <f t="shared" ref="M72" si="40">K72/0.8</f>
        <v>50</v>
      </c>
      <c r="N72" s="3">
        <f t="shared" ref="N72" si="41">M72/0.85*1.2</f>
        <v>70.588235294117652</v>
      </c>
      <c r="O72" s="26">
        <v>79</v>
      </c>
      <c r="P72" s="30">
        <v>60</v>
      </c>
    </row>
    <row r="73" spans="1:16" x14ac:dyDescent="0.25">
      <c r="A73" s="70" t="s">
        <v>22</v>
      </c>
      <c r="B73" s="71"/>
      <c r="C73" s="72"/>
      <c r="D73" s="3">
        <v>2016</v>
      </c>
      <c r="E73" s="3" t="s">
        <v>3</v>
      </c>
      <c r="F73" s="3"/>
      <c r="G73" s="3">
        <v>48</v>
      </c>
      <c r="H73" s="5"/>
      <c r="I73" s="5"/>
      <c r="J73" s="5">
        <f>G73*K73</f>
        <v>1920</v>
      </c>
      <c r="K73" s="10">
        <v>40</v>
      </c>
      <c r="L73" s="17">
        <v>45</v>
      </c>
      <c r="M73" s="22">
        <f t="shared" si="16"/>
        <v>50</v>
      </c>
      <c r="N73" s="3">
        <f t="shared" si="1"/>
        <v>70.588235294117652</v>
      </c>
      <c r="O73" s="26">
        <v>71</v>
      </c>
      <c r="P73" s="30">
        <v>60</v>
      </c>
    </row>
    <row r="74" spans="1:16" x14ac:dyDescent="0.25">
      <c r="A74" s="78" t="s">
        <v>49</v>
      </c>
      <c r="B74" s="79"/>
      <c r="C74" s="80"/>
      <c r="D74" s="51">
        <v>2019</v>
      </c>
      <c r="E74" s="51" t="s">
        <v>4</v>
      </c>
      <c r="F74" s="51"/>
      <c r="G74" s="51">
        <v>200</v>
      </c>
      <c r="H74" s="60">
        <v>7875</v>
      </c>
      <c r="I74" s="58">
        <f t="shared" ref="I74:I82" si="42">K74*G74</f>
        <v>21000</v>
      </c>
      <c r="J74" s="52"/>
      <c r="K74" s="53">
        <v>105</v>
      </c>
      <c r="L74" s="53">
        <f>K74/0.95</f>
        <v>110.52631578947368</v>
      </c>
      <c r="M74" s="51">
        <f>K74/0.8</f>
        <v>131.25</v>
      </c>
      <c r="N74" s="51">
        <f>M74/0.85</f>
        <v>154.41176470588235</v>
      </c>
      <c r="O74" s="51">
        <v>155</v>
      </c>
      <c r="P74" s="51">
        <f>O74*1.2</f>
        <v>186</v>
      </c>
    </row>
    <row r="75" spans="1:16" x14ac:dyDescent="0.25">
      <c r="A75" s="74" t="s">
        <v>46</v>
      </c>
      <c r="B75" s="75"/>
      <c r="C75" s="76"/>
      <c r="D75" s="31">
        <v>2000</v>
      </c>
      <c r="E75" s="31" t="s">
        <v>4</v>
      </c>
      <c r="F75" s="31"/>
      <c r="G75" s="31">
        <v>6</v>
      </c>
      <c r="H75" s="32"/>
      <c r="I75" s="5">
        <f t="shared" si="42"/>
        <v>450</v>
      </c>
      <c r="J75" s="32"/>
      <c r="K75" s="33">
        <v>75</v>
      </c>
      <c r="L75" s="34">
        <f t="shared" ref="L75:L78" si="43">K75/0.95</f>
        <v>78.94736842105263</v>
      </c>
      <c r="M75" s="35">
        <f t="shared" ref="M75:M78" si="44">K75/0.8</f>
        <v>93.75</v>
      </c>
      <c r="N75" s="36">
        <f t="shared" ref="N75:N78" si="45">M75/0.85</f>
        <v>110.29411764705883</v>
      </c>
      <c r="O75" s="36">
        <v>79</v>
      </c>
      <c r="P75" s="37">
        <f t="shared" ref="P75:P78" si="46">O75*1.2</f>
        <v>94.8</v>
      </c>
    </row>
    <row r="76" spans="1:16" x14ac:dyDescent="0.25">
      <c r="A76" s="74" t="s">
        <v>46</v>
      </c>
      <c r="B76" s="75"/>
      <c r="C76" s="76"/>
      <c r="D76" s="31">
        <v>2011</v>
      </c>
      <c r="E76" s="31" t="s">
        <v>4</v>
      </c>
      <c r="F76" s="31"/>
      <c r="G76" s="31">
        <v>160</v>
      </c>
      <c r="H76" s="32"/>
      <c r="I76" s="5">
        <f t="shared" si="42"/>
        <v>12000</v>
      </c>
      <c r="J76" s="32"/>
      <c r="K76" s="33">
        <v>75</v>
      </c>
      <c r="L76" s="34">
        <f t="shared" si="43"/>
        <v>78.94736842105263</v>
      </c>
      <c r="M76" s="35">
        <f t="shared" si="44"/>
        <v>93.75</v>
      </c>
      <c r="N76" s="36">
        <f t="shared" si="45"/>
        <v>110.29411764705883</v>
      </c>
      <c r="O76" s="36">
        <v>79</v>
      </c>
      <c r="P76" s="37">
        <f t="shared" si="46"/>
        <v>94.8</v>
      </c>
    </row>
    <row r="77" spans="1:16" x14ac:dyDescent="0.25">
      <c r="A77" s="74" t="s">
        <v>47</v>
      </c>
      <c r="B77" s="75"/>
      <c r="C77" s="76"/>
      <c r="D77" s="31">
        <v>2000</v>
      </c>
      <c r="E77" s="31" t="s">
        <v>4</v>
      </c>
      <c r="F77" s="31"/>
      <c r="G77" s="31">
        <v>13</v>
      </c>
      <c r="H77" s="32"/>
      <c r="I77" s="5">
        <f t="shared" si="42"/>
        <v>975</v>
      </c>
      <c r="J77" s="32"/>
      <c r="K77" s="33">
        <v>75</v>
      </c>
      <c r="L77" s="34">
        <f t="shared" si="43"/>
        <v>78.94736842105263</v>
      </c>
      <c r="M77" s="35">
        <f t="shared" si="44"/>
        <v>93.75</v>
      </c>
      <c r="N77" s="36">
        <f t="shared" si="45"/>
        <v>110.29411764705883</v>
      </c>
      <c r="O77" s="36">
        <v>79</v>
      </c>
      <c r="P77" s="37">
        <f t="shared" si="46"/>
        <v>94.8</v>
      </c>
    </row>
    <row r="78" spans="1:16" x14ac:dyDescent="0.25">
      <c r="A78" s="70" t="s">
        <v>47</v>
      </c>
      <c r="B78" s="71"/>
      <c r="C78" s="72"/>
      <c r="D78" s="47">
        <v>2006</v>
      </c>
      <c r="E78" s="47" t="s">
        <v>4</v>
      </c>
      <c r="F78" s="47"/>
      <c r="G78" s="47">
        <v>48</v>
      </c>
      <c r="H78" s="48"/>
      <c r="I78" s="5">
        <f t="shared" si="42"/>
        <v>3600</v>
      </c>
      <c r="J78" s="48"/>
      <c r="K78" s="49">
        <v>75</v>
      </c>
      <c r="L78" s="34">
        <f t="shared" si="43"/>
        <v>78.94736842105263</v>
      </c>
      <c r="M78" s="35">
        <f t="shared" si="44"/>
        <v>93.75</v>
      </c>
      <c r="N78" s="36">
        <f t="shared" si="45"/>
        <v>110.29411764705883</v>
      </c>
      <c r="O78" s="50">
        <v>79</v>
      </c>
      <c r="P78" s="37">
        <f t="shared" si="46"/>
        <v>94.8</v>
      </c>
    </row>
    <row r="79" spans="1:16" x14ac:dyDescent="0.25">
      <c r="A79" s="69" t="s">
        <v>15</v>
      </c>
      <c r="B79" s="69"/>
      <c r="C79" s="69"/>
      <c r="D79" s="3">
        <v>2017</v>
      </c>
      <c r="E79" s="3" t="s">
        <v>4</v>
      </c>
      <c r="F79" s="3"/>
      <c r="G79" s="3">
        <v>545</v>
      </c>
      <c r="H79" s="5"/>
      <c r="I79" s="5">
        <f t="shared" si="42"/>
        <v>20710</v>
      </c>
      <c r="J79" s="5"/>
      <c r="K79" s="10">
        <v>38</v>
      </c>
      <c r="L79" s="17">
        <v>38</v>
      </c>
      <c r="M79" s="22">
        <f t="shared" si="16"/>
        <v>47.5</v>
      </c>
      <c r="N79" s="3">
        <f t="shared" si="1"/>
        <v>67.058823529411768</v>
      </c>
      <c r="O79" s="26">
        <v>68</v>
      </c>
      <c r="P79" s="30">
        <v>65</v>
      </c>
    </row>
    <row r="80" spans="1:16" x14ac:dyDescent="0.25">
      <c r="A80" s="69" t="s">
        <v>15</v>
      </c>
      <c r="B80" s="69"/>
      <c r="C80" s="69"/>
      <c r="D80" s="3">
        <v>2013</v>
      </c>
      <c r="E80" s="3" t="s">
        <v>4</v>
      </c>
      <c r="F80" s="3"/>
      <c r="G80" s="3">
        <v>33</v>
      </c>
      <c r="H80" s="5"/>
      <c r="I80" s="5">
        <f t="shared" si="42"/>
        <v>1254</v>
      </c>
      <c r="J80" s="5"/>
      <c r="K80" s="10">
        <v>38</v>
      </c>
      <c r="L80" s="17">
        <v>38</v>
      </c>
      <c r="M80" s="22">
        <f t="shared" ref="M80" si="47">K80/0.8</f>
        <v>47.5</v>
      </c>
      <c r="N80" s="3">
        <f t="shared" ref="N80" si="48">M80/0.85*1.2</f>
        <v>67.058823529411768</v>
      </c>
      <c r="O80" s="26">
        <v>68</v>
      </c>
      <c r="P80" s="30">
        <v>53</v>
      </c>
    </row>
    <row r="81" spans="1:16" x14ac:dyDescent="0.25">
      <c r="A81" s="69" t="s">
        <v>29</v>
      </c>
      <c r="B81" s="69"/>
      <c r="C81" s="69"/>
      <c r="D81" s="3">
        <v>2011</v>
      </c>
      <c r="E81" s="3" t="s">
        <v>4</v>
      </c>
      <c r="F81" s="3"/>
      <c r="G81" s="3">
        <v>84</v>
      </c>
      <c r="H81" s="5"/>
      <c r="I81" s="5">
        <f t="shared" si="42"/>
        <v>2940</v>
      </c>
      <c r="J81" s="5"/>
      <c r="K81" s="10">
        <v>35</v>
      </c>
      <c r="L81" s="17">
        <v>38</v>
      </c>
      <c r="M81" s="22">
        <f t="shared" si="16"/>
        <v>43.75</v>
      </c>
      <c r="N81" s="3">
        <f t="shared" si="1"/>
        <v>61.764705882352935</v>
      </c>
      <c r="O81" s="26">
        <v>62</v>
      </c>
      <c r="P81" s="30">
        <v>53</v>
      </c>
    </row>
    <row r="82" spans="1:16" x14ac:dyDescent="0.25">
      <c r="A82" s="69" t="s">
        <v>29</v>
      </c>
      <c r="B82" s="69"/>
      <c r="C82" s="69"/>
      <c r="D82" s="3">
        <v>2006</v>
      </c>
      <c r="E82" s="3" t="s">
        <v>4</v>
      </c>
      <c r="F82" s="3"/>
      <c r="G82" s="3">
        <v>89</v>
      </c>
      <c r="H82" s="5"/>
      <c r="I82" s="5">
        <f t="shared" si="42"/>
        <v>3115</v>
      </c>
      <c r="J82" s="5"/>
      <c r="K82" s="10">
        <v>35</v>
      </c>
      <c r="L82" s="17">
        <v>38</v>
      </c>
      <c r="M82" s="22">
        <f t="shared" ref="M82" si="49">K82/0.8</f>
        <v>43.75</v>
      </c>
      <c r="N82" s="3">
        <f t="shared" ref="N82" si="50">M82/0.85*1.2</f>
        <v>61.764705882352935</v>
      </c>
      <c r="O82" s="26">
        <v>62</v>
      </c>
      <c r="P82" s="30">
        <v>53</v>
      </c>
    </row>
    <row r="83" spans="1:16" x14ac:dyDescent="0.25">
      <c r="A83" s="77" t="s">
        <v>45</v>
      </c>
      <c r="B83" s="77"/>
      <c r="C83" s="77"/>
      <c r="D83" s="51">
        <v>2019</v>
      </c>
      <c r="E83" s="51" t="s">
        <v>3</v>
      </c>
      <c r="F83" s="51"/>
      <c r="G83" s="51">
        <v>1000</v>
      </c>
      <c r="H83" s="52"/>
      <c r="I83" s="52"/>
      <c r="J83" s="52">
        <f t="shared" ref="J83" si="51">G83*K83</f>
        <v>175000</v>
      </c>
      <c r="K83" s="53">
        <v>175</v>
      </c>
      <c r="L83" s="53">
        <v>185</v>
      </c>
      <c r="M83" s="51">
        <v>215</v>
      </c>
      <c r="N83" s="51">
        <f t="shared" ref="N83" si="52">M83/0.85*1.2</f>
        <v>303.52941176470586</v>
      </c>
      <c r="O83" s="51">
        <v>303</v>
      </c>
      <c r="P83" s="51">
        <f>O83*1.2</f>
        <v>363.59999999999997</v>
      </c>
    </row>
    <row r="84" spans="1:16" x14ac:dyDescent="0.25">
      <c r="A84" s="73" t="s">
        <v>16</v>
      </c>
      <c r="B84" s="73"/>
      <c r="C84" s="73"/>
      <c r="D84" s="3">
        <v>2018</v>
      </c>
      <c r="E84" s="3" t="s">
        <v>3</v>
      </c>
      <c r="F84" s="3"/>
      <c r="G84" s="3">
        <v>143</v>
      </c>
      <c r="H84" s="5"/>
      <c r="I84" s="5"/>
      <c r="J84" s="5">
        <f>G84*K84</f>
        <v>22165</v>
      </c>
      <c r="K84" s="10">
        <v>155</v>
      </c>
      <c r="L84" s="17">
        <v>170</v>
      </c>
      <c r="M84" s="22">
        <v>194</v>
      </c>
      <c r="N84" s="3">
        <f t="shared" si="1"/>
        <v>273.88235294117646</v>
      </c>
      <c r="O84" s="26">
        <v>265</v>
      </c>
      <c r="P84" s="30">
        <v>265</v>
      </c>
    </row>
    <row r="85" spans="1:16" x14ac:dyDescent="0.25">
      <c r="A85" s="73" t="s">
        <v>16</v>
      </c>
      <c r="B85" s="73"/>
      <c r="C85" s="73"/>
      <c r="D85" s="3">
        <v>2014</v>
      </c>
      <c r="E85" s="3" t="s">
        <v>4</v>
      </c>
      <c r="F85" s="3"/>
      <c r="G85" s="3">
        <v>106</v>
      </c>
      <c r="H85" s="5"/>
      <c r="I85" s="5">
        <f>K85*G85</f>
        <v>12190</v>
      </c>
      <c r="J85" s="5"/>
      <c r="K85" s="10">
        <v>115</v>
      </c>
      <c r="L85" s="17">
        <v>125</v>
      </c>
      <c r="M85" s="22">
        <f t="shared" si="16"/>
        <v>143.75</v>
      </c>
      <c r="N85" s="3">
        <f t="shared" si="1"/>
        <v>202.94117647058823</v>
      </c>
      <c r="O85" s="26">
        <v>203</v>
      </c>
      <c r="P85" s="30">
        <v>190</v>
      </c>
    </row>
    <row r="86" spans="1:16" x14ac:dyDescent="0.25">
      <c r="A86" s="77" t="s">
        <v>23</v>
      </c>
      <c r="B86" s="77"/>
      <c r="C86" s="77"/>
      <c r="D86" s="51">
        <v>2019</v>
      </c>
      <c r="E86" s="51" t="s">
        <v>3</v>
      </c>
      <c r="F86" s="51"/>
      <c r="G86" s="51">
        <v>2000</v>
      </c>
      <c r="H86" s="52"/>
      <c r="I86" s="52"/>
      <c r="J86" s="52">
        <f t="shared" ref="J86" si="53">G86*K86</f>
        <v>700000</v>
      </c>
      <c r="K86" s="53">
        <v>350</v>
      </c>
      <c r="L86" s="53">
        <v>368</v>
      </c>
      <c r="M86" s="51">
        <v>437</v>
      </c>
      <c r="N86" s="51">
        <f t="shared" ref="N86" si="54">M86/0.85*1.2</f>
        <v>616.94117647058818</v>
      </c>
      <c r="O86" s="51">
        <v>620</v>
      </c>
      <c r="P86" s="51">
        <v>744</v>
      </c>
    </row>
    <row r="87" spans="1:16" x14ac:dyDescent="0.25">
      <c r="A87" s="73" t="s">
        <v>23</v>
      </c>
      <c r="B87" s="73"/>
      <c r="C87" s="73"/>
      <c r="D87" s="3">
        <v>2018</v>
      </c>
      <c r="E87" s="3" t="s">
        <v>3</v>
      </c>
      <c r="F87" s="3"/>
      <c r="G87" s="3">
        <v>43</v>
      </c>
      <c r="H87" s="5"/>
      <c r="I87" s="5"/>
      <c r="J87" s="5">
        <f>G87*K87</f>
        <v>13115</v>
      </c>
      <c r="K87" s="10">
        <v>305</v>
      </c>
      <c r="L87" s="17">
        <v>322</v>
      </c>
      <c r="M87" s="22">
        <v>380</v>
      </c>
      <c r="N87" s="3">
        <f t="shared" si="1"/>
        <v>536.47058823529414</v>
      </c>
      <c r="O87" s="26">
        <v>539</v>
      </c>
      <c r="P87" s="30">
        <v>539</v>
      </c>
    </row>
    <row r="88" spans="1:16" x14ac:dyDescent="0.25">
      <c r="A88" s="73" t="s">
        <v>23</v>
      </c>
      <c r="B88" s="73"/>
      <c r="C88" s="73"/>
      <c r="D88" s="3">
        <v>2014</v>
      </c>
      <c r="E88" s="3" t="s">
        <v>3</v>
      </c>
      <c r="F88" s="3"/>
      <c r="G88" s="3">
        <v>233</v>
      </c>
      <c r="H88" s="5"/>
      <c r="I88" s="5"/>
      <c r="J88" s="5">
        <f>G88*K88</f>
        <v>60580</v>
      </c>
      <c r="K88" s="10">
        <v>260</v>
      </c>
      <c r="L88" s="17">
        <v>275</v>
      </c>
      <c r="M88" s="22">
        <f t="shared" si="16"/>
        <v>325</v>
      </c>
      <c r="N88" s="3">
        <f t="shared" si="1"/>
        <v>458.8235294117647</v>
      </c>
      <c r="O88" s="26">
        <v>460</v>
      </c>
      <c r="P88" s="30">
        <v>434</v>
      </c>
    </row>
    <row r="89" spans="1:16" x14ac:dyDescent="0.25">
      <c r="A89" s="73" t="s">
        <v>23</v>
      </c>
      <c r="B89" s="73"/>
      <c r="C89" s="73"/>
      <c r="D89" s="3">
        <v>2013</v>
      </c>
      <c r="E89" s="3" t="s">
        <v>3</v>
      </c>
      <c r="F89" s="3"/>
      <c r="G89" s="3">
        <v>39</v>
      </c>
      <c r="H89" s="5"/>
      <c r="I89" s="5"/>
      <c r="J89" s="5">
        <f>G89*K89</f>
        <v>9750</v>
      </c>
      <c r="K89" s="10">
        <v>250</v>
      </c>
      <c r="L89" s="17">
        <v>270</v>
      </c>
      <c r="M89" s="22">
        <v>312</v>
      </c>
      <c r="N89" s="3">
        <f t="shared" si="1"/>
        <v>440.47058823529409</v>
      </c>
      <c r="O89" s="26">
        <v>445</v>
      </c>
      <c r="P89" s="30">
        <v>418</v>
      </c>
    </row>
    <row r="90" spans="1:16" ht="15.75" thickBot="1" x14ac:dyDescent="0.3">
      <c r="I90" s="63">
        <f>SUM(I11:I89)</f>
        <v>598573</v>
      </c>
      <c r="J90" s="63">
        <f>SUM(J11:J89)</f>
        <v>2166833</v>
      </c>
    </row>
    <row r="91" spans="1:16" ht="15.75" thickBot="1" x14ac:dyDescent="0.3">
      <c r="I91" s="67">
        <f>I90+J90</f>
        <v>2765406</v>
      </c>
      <c r="J91" s="68"/>
    </row>
    <row r="93" spans="1:16" x14ac:dyDescent="0.25">
      <c r="E93" s="61"/>
      <c r="F93" s="61"/>
      <c r="G93" s="61"/>
      <c r="H93" s="61" t="s">
        <v>52</v>
      </c>
      <c r="I93" s="61" t="s">
        <v>53</v>
      </c>
    </row>
    <row r="94" spans="1:16" x14ac:dyDescent="0.25">
      <c r="E94" s="100" t="s">
        <v>51</v>
      </c>
      <c r="F94" s="100"/>
      <c r="G94" s="101"/>
      <c r="H94" s="62">
        <f>H74++H60+H45+H44+H31+H27+H16</f>
        <v>140844</v>
      </c>
      <c r="I94" s="62">
        <f>I74+I60+I45+I44+I31+I27+I16</f>
        <v>365385</v>
      </c>
    </row>
  </sheetData>
  <mergeCells count="87">
    <mergeCell ref="E94:G94"/>
    <mergeCell ref="A44:C44"/>
    <mergeCell ref="A31:C31"/>
    <mergeCell ref="A86:C86"/>
    <mergeCell ref="A83:C83"/>
    <mergeCell ref="A88:C88"/>
    <mergeCell ref="A85:C85"/>
    <mergeCell ref="A64:C64"/>
    <mergeCell ref="A54:C54"/>
    <mergeCell ref="A61:C61"/>
    <mergeCell ref="A63:C63"/>
    <mergeCell ref="A59:C59"/>
    <mergeCell ref="A58:C58"/>
    <mergeCell ref="A56:C56"/>
    <mergeCell ref="A53:C53"/>
    <mergeCell ref="A57:C57"/>
    <mergeCell ref="A60:C60"/>
    <mergeCell ref="A79:C79"/>
    <mergeCell ref="A48:C48"/>
    <mergeCell ref="A55:C55"/>
    <mergeCell ref="A73:C73"/>
    <mergeCell ref="A49:C49"/>
    <mergeCell ref="A51:C51"/>
    <mergeCell ref="A76:C76"/>
    <mergeCell ref="A74:C74"/>
    <mergeCell ref="A70:C70"/>
    <mergeCell ref="A68:C68"/>
    <mergeCell ref="A62:C62"/>
    <mergeCell ref="A7:K8"/>
    <mergeCell ref="D22:E22"/>
    <mergeCell ref="A13:C13"/>
    <mergeCell ref="A10:C10"/>
    <mergeCell ref="A14:C14"/>
    <mergeCell ref="A18:C18"/>
    <mergeCell ref="A20:C20"/>
    <mergeCell ref="A30:C30"/>
    <mergeCell ref="A16:C16"/>
    <mergeCell ref="A23:C23"/>
    <mergeCell ref="A27:C27"/>
    <mergeCell ref="A40:C40"/>
    <mergeCell ref="A34:C34"/>
    <mergeCell ref="A36:C36"/>
    <mergeCell ref="A37:C37"/>
    <mergeCell ref="A38:C38"/>
    <mergeCell ref="A33:C33"/>
    <mergeCell ref="A32:C32"/>
    <mergeCell ref="A28:C28"/>
    <mergeCell ref="A29:C29"/>
    <mergeCell ref="A26:C26"/>
    <mergeCell ref="A25:C25"/>
    <mergeCell ref="A19:C19"/>
    <mergeCell ref="A11:C11"/>
    <mergeCell ref="A17:C17"/>
    <mergeCell ref="A24:C24"/>
    <mergeCell ref="A12:C12"/>
    <mergeCell ref="A15:C15"/>
    <mergeCell ref="A3:L3"/>
    <mergeCell ref="A1:K1"/>
    <mergeCell ref="A2:K2"/>
    <mergeCell ref="A5:K5"/>
    <mergeCell ref="A4:K4"/>
    <mergeCell ref="A39:C39"/>
    <mergeCell ref="A42:C42"/>
    <mergeCell ref="A46:C46"/>
    <mergeCell ref="A35:C35"/>
    <mergeCell ref="A52:C52"/>
    <mergeCell ref="A50:C50"/>
    <mergeCell ref="A45:C45"/>
    <mergeCell ref="A41:C41"/>
    <mergeCell ref="A47:C47"/>
    <mergeCell ref="A43:C43"/>
    <mergeCell ref="I91:J91"/>
    <mergeCell ref="A80:C80"/>
    <mergeCell ref="A65:C65"/>
    <mergeCell ref="A72:C72"/>
    <mergeCell ref="A69:C69"/>
    <mergeCell ref="A71:C71"/>
    <mergeCell ref="A84:C84"/>
    <mergeCell ref="A87:C87"/>
    <mergeCell ref="A81:C81"/>
    <mergeCell ref="A89:C89"/>
    <mergeCell ref="A77:C77"/>
    <mergeCell ref="A75:C75"/>
    <mergeCell ref="A82:C82"/>
    <mergeCell ref="A66:C66"/>
    <mergeCell ref="A67:C67"/>
    <mergeCell ref="A78:C78"/>
  </mergeCells>
  <printOptions horizontalCentered="1"/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94E2-525A-4EE2-8890-121DDDA2995D}">
  <dimension ref="A7:O24"/>
  <sheetViews>
    <sheetView workbookViewId="0">
      <selection activeCell="L24" sqref="L24"/>
    </sheetView>
  </sheetViews>
  <sheetFormatPr baseColWidth="10" defaultRowHeight="15" x14ac:dyDescent="0.25"/>
  <cols>
    <col min="3" max="3" width="7.5703125" customWidth="1"/>
    <col min="4" max="4" width="11.28515625" customWidth="1"/>
    <col min="10" max="10" width="9.140625" customWidth="1"/>
    <col min="11" max="11" width="12.85546875" bestFit="1" customWidth="1"/>
    <col min="14" max="14" width="6.5703125" customWidth="1"/>
  </cols>
  <sheetData>
    <row r="7" spans="1:15" x14ac:dyDescent="0.25">
      <c r="H7" t="s">
        <v>50</v>
      </c>
      <c r="I7" t="s">
        <v>58</v>
      </c>
      <c r="J7" t="s">
        <v>54</v>
      </c>
      <c r="K7" t="s">
        <v>55</v>
      </c>
      <c r="L7" t="s">
        <v>56</v>
      </c>
      <c r="O7" t="s">
        <v>57</v>
      </c>
    </row>
    <row r="8" spans="1:15" ht="19.5" customHeight="1" x14ac:dyDescent="0.25">
      <c r="A8" s="91" t="s">
        <v>8</v>
      </c>
      <c r="B8" s="91"/>
      <c r="C8" s="91"/>
      <c r="D8" s="51">
        <v>2019</v>
      </c>
      <c r="E8" s="52" t="s">
        <v>4</v>
      </c>
      <c r="F8" s="52"/>
      <c r="G8" s="52">
        <v>290</v>
      </c>
      <c r="H8" s="60">
        <v>18000</v>
      </c>
      <c r="I8" s="52">
        <v>37410</v>
      </c>
      <c r="J8" s="53">
        <v>129</v>
      </c>
      <c r="K8" s="54">
        <v>135.78947368421052</v>
      </c>
      <c r="L8" s="51">
        <v>161.25</v>
      </c>
      <c r="M8" s="51">
        <v>189.70588235294119</v>
      </c>
      <c r="N8" s="51">
        <v>190</v>
      </c>
      <c r="O8" s="51">
        <v>228</v>
      </c>
    </row>
    <row r="9" spans="1:15" ht="20.25" customHeight="1" x14ac:dyDescent="0.25">
      <c r="A9" s="77" t="s">
        <v>10</v>
      </c>
      <c r="B9" s="77"/>
      <c r="C9" s="77"/>
      <c r="D9" s="51">
        <v>2019</v>
      </c>
      <c r="E9" s="51" t="s">
        <v>4</v>
      </c>
      <c r="F9" s="51"/>
      <c r="G9" s="51">
        <v>4900</v>
      </c>
      <c r="H9" s="60">
        <v>22076</v>
      </c>
      <c r="I9" s="52">
        <v>63700</v>
      </c>
      <c r="J9" s="53">
        <v>13</v>
      </c>
      <c r="K9" s="53">
        <v>13.684210526315789</v>
      </c>
      <c r="L9" s="51">
        <v>16.25</v>
      </c>
      <c r="M9" s="51">
        <v>19.117647058823529</v>
      </c>
      <c r="N9" s="51">
        <v>20</v>
      </c>
      <c r="O9" s="51">
        <v>24</v>
      </c>
    </row>
    <row r="10" spans="1:15" ht="27.75" customHeight="1" x14ac:dyDescent="0.25">
      <c r="A10" s="77" t="s">
        <v>11</v>
      </c>
      <c r="B10" s="77"/>
      <c r="C10" s="77"/>
      <c r="D10" s="51">
        <v>2019</v>
      </c>
      <c r="E10" s="51" t="s">
        <v>4</v>
      </c>
      <c r="F10" s="51"/>
      <c r="G10" s="51">
        <v>5100</v>
      </c>
      <c r="H10" s="60">
        <v>25628</v>
      </c>
      <c r="I10" s="52">
        <v>68850</v>
      </c>
      <c r="J10" s="53">
        <v>13.5</v>
      </c>
      <c r="K10" s="53">
        <v>14.210526315789474</v>
      </c>
      <c r="L10" s="51">
        <v>16.875</v>
      </c>
      <c r="M10" s="51">
        <v>19.852941176470587</v>
      </c>
      <c r="N10" s="51">
        <v>20</v>
      </c>
      <c r="O10" s="51">
        <v>24</v>
      </c>
    </row>
    <row r="11" spans="1:15" ht="30" customHeight="1" x14ac:dyDescent="0.25">
      <c r="A11" s="77" t="s">
        <v>44</v>
      </c>
      <c r="B11" s="77"/>
      <c r="C11" s="77"/>
      <c r="D11" s="51">
        <v>2019</v>
      </c>
      <c r="E11" s="51" t="s">
        <v>4</v>
      </c>
      <c r="F11" s="51"/>
      <c r="G11" s="51">
        <v>1430</v>
      </c>
      <c r="H11" s="60">
        <v>30590</v>
      </c>
      <c r="I11" s="52">
        <v>64350</v>
      </c>
      <c r="J11" s="53">
        <v>45</v>
      </c>
      <c r="K11" s="53">
        <v>47.368421052631582</v>
      </c>
      <c r="L11" s="51">
        <v>56.25</v>
      </c>
      <c r="M11" s="51">
        <v>66.17647058823529</v>
      </c>
      <c r="N11" s="51">
        <v>67</v>
      </c>
      <c r="O11" s="51">
        <v>80.399999999999991</v>
      </c>
    </row>
    <row r="12" spans="1:15" x14ac:dyDescent="0.25">
      <c r="A12" s="77" t="s">
        <v>43</v>
      </c>
      <c r="B12" s="77"/>
      <c r="C12" s="77"/>
      <c r="D12" s="51">
        <v>2019</v>
      </c>
      <c r="E12" s="51" t="s">
        <v>4</v>
      </c>
      <c r="F12" s="51"/>
      <c r="G12" s="51">
        <v>1300</v>
      </c>
      <c r="H12" s="60">
        <v>18675</v>
      </c>
      <c r="I12" s="52">
        <v>45500</v>
      </c>
      <c r="J12" s="53">
        <v>35</v>
      </c>
      <c r="K12" s="53">
        <v>36.842105263157897</v>
      </c>
      <c r="L12" s="51">
        <v>43.75</v>
      </c>
      <c r="M12" s="51">
        <v>51.470588235294116</v>
      </c>
      <c r="N12" s="51">
        <v>52</v>
      </c>
      <c r="O12" s="51">
        <v>62.4</v>
      </c>
    </row>
    <row r="13" spans="1:15" ht="24.75" customHeight="1" x14ac:dyDescent="0.25">
      <c r="A13" s="77" t="s">
        <v>37</v>
      </c>
      <c r="B13" s="77"/>
      <c r="C13" s="77"/>
      <c r="D13" s="51">
        <v>2019</v>
      </c>
      <c r="E13" s="51" t="s">
        <v>4</v>
      </c>
      <c r="F13" s="51"/>
      <c r="G13" s="51">
        <v>575</v>
      </c>
      <c r="H13" s="60">
        <v>18000</v>
      </c>
      <c r="I13" s="52">
        <v>37375</v>
      </c>
      <c r="J13" s="53">
        <v>65</v>
      </c>
      <c r="K13" s="53">
        <v>68.421052631578945</v>
      </c>
      <c r="L13" s="51">
        <v>81.25</v>
      </c>
      <c r="M13" s="51">
        <v>95.588235294117652</v>
      </c>
      <c r="N13" s="51">
        <v>96</v>
      </c>
      <c r="O13" s="51">
        <v>115.19999999999999</v>
      </c>
    </row>
    <row r="14" spans="1:15" ht="25.5" customHeight="1" x14ac:dyDescent="0.25">
      <c r="A14" s="78" t="s">
        <v>49</v>
      </c>
      <c r="B14" s="79"/>
      <c r="C14" s="80"/>
      <c r="D14" s="51">
        <v>2019</v>
      </c>
      <c r="E14" s="51" t="s">
        <v>4</v>
      </c>
      <c r="F14" s="51"/>
      <c r="G14" s="51">
        <v>200</v>
      </c>
      <c r="H14" s="60">
        <v>7875</v>
      </c>
      <c r="I14" s="58">
        <v>21000</v>
      </c>
      <c r="J14" s="53">
        <v>105</v>
      </c>
      <c r="K14" s="53">
        <v>110.52631578947368</v>
      </c>
      <c r="L14" s="51">
        <v>131.25</v>
      </c>
      <c r="M14" s="51">
        <v>154.41176470588235</v>
      </c>
      <c r="N14" s="51">
        <v>155</v>
      </c>
      <c r="O14" s="51">
        <v>186</v>
      </c>
    </row>
    <row r="16" spans="1:15" x14ac:dyDescent="0.25">
      <c r="A16" s="102" t="s">
        <v>61</v>
      </c>
      <c r="B16" s="102"/>
      <c r="C16" s="102"/>
      <c r="D16" t="s">
        <v>50</v>
      </c>
      <c r="E16" t="s">
        <v>58</v>
      </c>
      <c r="F16" t="s">
        <v>62</v>
      </c>
      <c r="G16" t="s">
        <v>60</v>
      </c>
      <c r="H16" t="s">
        <v>59</v>
      </c>
    </row>
    <row r="17" spans="1:8" x14ac:dyDescent="0.25">
      <c r="A17" s="91" t="s">
        <v>8</v>
      </c>
      <c r="B17" s="91"/>
      <c r="C17" s="91"/>
      <c r="D17" s="60">
        <v>18000</v>
      </c>
      <c r="E17" s="52">
        <v>37410</v>
      </c>
      <c r="F17" s="3">
        <f>E17-D17</f>
        <v>19410</v>
      </c>
      <c r="G17" s="66">
        <f>F17/$F$24</f>
        <v>9.8357665158279317E-2</v>
      </c>
      <c r="H17" s="3">
        <f>E17/D17</f>
        <v>2.0783333333333331</v>
      </c>
    </row>
    <row r="18" spans="1:8" ht="19.5" customHeight="1" x14ac:dyDescent="0.25">
      <c r="A18" s="77" t="s">
        <v>10</v>
      </c>
      <c r="B18" s="77"/>
      <c r="C18" s="77"/>
      <c r="D18" s="60">
        <v>22076</v>
      </c>
      <c r="E18" s="52">
        <v>63700</v>
      </c>
      <c r="F18" s="3">
        <f t="shared" ref="F18:F23" si="0">E18-D18</f>
        <v>41624</v>
      </c>
      <c r="G18" s="66">
        <f>F18/$F$24</f>
        <v>0.21092423774076344</v>
      </c>
      <c r="H18" s="3">
        <f t="shared" ref="H18:H23" si="1">E18/D18</f>
        <v>2.8854865011777497</v>
      </c>
    </row>
    <row r="19" spans="1:8" ht="25.5" customHeight="1" x14ac:dyDescent="0.25">
      <c r="A19" s="77" t="s">
        <v>11</v>
      </c>
      <c r="B19" s="77"/>
      <c r="C19" s="77"/>
      <c r="D19" s="60">
        <v>25628</v>
      </c>
      <c r="E19" s="52">
        <v>68850</v>
      </c>
      <c r="F19" s="3">
        <f t="shared" si="0"/>
        <v>43222</v>
      </c>
      <c r="G19" s="66">
        <f t="shared" ref="G19:G23" si="2">F19/$F$24</f>
        <v>0.21902189610876605</v>
      </c>
      <c r="H19" s="3">
        <f t="shared" si="1"/>
        <v>2.6865147494927424</v>
      </c>
    </row>
    <row r="20" spans="1:8" ht="25.5" customHeight="1" x14ac:dyDescent="0.25">
      <c r="A20" s="77" t="s">
        <v>44</v>
      </c>
      <c r="B20" s="77"/>
      <c r="C20" s="77"/>
      <c r="D20" s="60">
        <v>30590</v>
      </c>
      <c r="E20" s="52">
        <v>64350</v>
      </c>
      <c r="F20" s="3">
        <f t="shared" si="0"/>
        <v>33760</v>
      </c>
      <c r="G20" s="66">
        <f t="shared" si="2"/>
        <v>0.17107443460811489</v>
      </c>
      <c r="H20" s="3">
        <f t="shared" si="1"/>
        <v>2.103628636809415</v>
      </c>
    </row>
    <row r="21" spans="1:8" ht="21.75" customHeight="1" x14ac:dyDescent="0.25">
      <c r="A21" s="77" t="s">
        <v>43</v>
      </c>
      <c r="B21" s="77"/>
      <c r="C21" s="77"/>
      <c r="D21" s="60">
        <v>18675</v>
      </c>
      <c r="E21" s="52">
        <v>45500</v>
      </c>
      <c r="F21" s="3">
        <f t="shared" si="0"/>
        <v>26825</v>
      </c>
      <c r="G21" s="66">
        <f t="shared" si="2"/>
        <v>0.13593221884960552</v>
      </c>
      <c r="H21" s="3">
        <f t="shared" si="1"/>
        <v>2.4364123159303883</v>
      </c>
    </row>
    <row r="22" spans="1:8" ht="22.5" customHeight="1" x14ac:dyDescent="0.25">
      <c r="A22" s="77" t="s">
        <v>37</v>
      </c>
      <c r="B22" s="77"/>
      <c r="C22" s="77"/>
      <c r="D22" s="60">
        <v>18000</v>
      </c>
      <c r="E22" s="52">
        <v>37375</v>
      </c>
      <c r="F22" s="3">
        <f t="shared" si="0"/>
        <v>19375</v>
      </c>
      <c r="G22" s="66">
        <f t="shared" si="2"/>
        <v>9.8180307184011426E-2</v>
      </c>
      <c r="H22" s="3">
        <f t="shared" si="1"/>
        <v>2.0763888888888888</v>
      </c>
    </row>
    <row r="23" spans="1:8" ht="27.75" customHeight="1" x14ac:dyDescent="0.25">
      <c r="A23" s="78" t="s">
        <v>49</v>
      </c>
      <c r="B23" s="79"/>
      <c r="C23" s="80"/>
      <c r="D23" s="60">
        <v>7875</v>
      </c>
      <c r="E23" s="58">
        <v>21000</v>
      </c>
      <c r="F23" s="3">
        <f t="shared" si="0"/>
        <v>13125</v>
      </c>
      <c r="G23" s="66">
        <f t="shared" si="2"/>
        <v>6.6509240350459353E-2</v>
      </c>
      <c r="H23" s="3">
        <f t="shared" si="1"/>
        <v>2.6666666666666665</v>
      </c>
    </row>
    <row r="24" spans="1:8" x14ac:dyDescent="0.25">
      <c r="F24" s="64">
        <f>SUM(F17:F23)</f>
        <v>197341</v>
      </c>
      <c r="G24" s="65"/>
    </row>
  </sheetData>
  <mergeCells count="15">
    <mergeCell ref="A22:C22"/>
    <mergeCell ref="A23:C23"/>
    <mergeCell ref="A16:C16"/>
    <mergeCell ref="A14:C14"/>
    <mergeCell ref="A17:C17"/>
    <mergeCell ref="A18:C18"/>
    <mergeCell ref="A19:C19"/>
    <mergeCell ref="A20:C20"/>
    <mergeCell ref="A21:C21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2020-08-14T15:09:40Z</cp:lastPrinted>
  <dcterms:created xsi:type="dcterms:W3CDTF">2019-05-07T08:49:19Z</dcterms:created>
  <dcterms:modified xsi:type="dcterms:W3CDTF">2020-08-21T14:05:42Z</dcterms:modified>
</cp:coreProperties>
</file>