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perso\"/>
    </mc:Choice>
  </mc:AlternateContent>
  <xr:revisionPtr revIDLastSave="0" documentId="13_ncr:1_{DCF2B87E-0CB2-47B5-907D-6E24D864E13E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ACTIF ET DEVOLUTION" sheetId="1" r:id="rId1"/>
    <sheet name="EVOLUTION QINTESSA CAPI" sheetId="2" r:id="rId2"/>
    <sheet name="LINGOTS" sheetId="3" r:id="rId3"/>
  </sheets>
  <definedNames>
    <definedName name="_xlnm._FilterDatabase" localSheetId="2" hidden="1">LINGOTS!$A$1:$G$55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G60" i="3" l="1"/>
  <c r="F60" i="3"/>
  <c r="E60" i="3"/>
  <c r="E65" i="3" s="1"/>
  <c r="G54" i="3"/>
  <c r="E54" i="3"/>
  <c r="I50" i="3"/>
  <c r="I51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 l="1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I54" i="3" l="1"/>
  <c r="I55" i="3" s="1"/>
  <c r="L50" i="1" l="1"/>
  <c r="K50" i="1"/>
  <c r="J50" i="1"/>
  <c r="D18" i="1"/>
  <c r="R53" i="1"/>
  <c r="D69" i="1"/>
  <c r="D68" i="1"/>
  <c r="D67" i="1"/>
  <c r="K64" i="1"/>
  <c r="L64" i="1"/>
  <c r="J64" i="1"/>
  <c r="M50" i="1"/>
  <c r="M46" i="1"/>
  <c r="P46" i="1"/>
  <c r="O46" i="1"/>
  <c r="N44" i="1"/>
  <c r="M44" i="1"/>
  <c r="N43" i="1"/>
  <c r="N42" i="1"/>
  <c r="M43" i="1"/>
  <c r="M42" i="1"/>
  <c r="J46" i="1"/>
  <c r="J47" i="1"/>
  <c r="J48" i="1"/>
  <c r="J49" i="1"/>
  <c r="G48" i="1"/>
  <c r="I46" i="1"/>
  <c r="I44" i="1"/>
  <c r="K46" i="1"/>
  <c r="L46" i="1"/>
  <c r="I42" i="1"/>
  <c r="I55" i="1" s="1"/>
  <c r="I57" i="1" s="1"/>
  <c r="I59" i="1" s="1"/>
  <c r="H44" i="1"/>
  <c r="H43" i="1"/>
  <c r="H42" i="1"/>
  <c r="G46" i="1"/>
  <c r="H46" i="1"/>
  <c r="G44" i="1"/>
  <c r="G43" i="1"/>
  <c r="G42" i="1"/>
  <c r="P49" i="1"/>
  <c r="P48" i="1"/>
  <c r="P47" i="1"/>
  <c r="O49" i="1"/>
  <c r="O48" i="1"/>
  <c r="O47" i="1"/>
  <c r="M49" i="1"/>
  <c r="M48" i="1"/>
  <c r="M47" i="1"/>
  <c r="L49" i="1"/>
  <c r="L48" i="1"/>
  <c r="L47" i="1"/>
  <c r="K49" i="1"/>
  <c r="K48" i="1"/>
  <c r="K47" i="1"/>
  <c r="H49" i="1"/>
  <c r="H48" i="1"/>
  <c r="H47" i="1"/>
  <c r="G49" i="1"/>
  <c r="G47" i="1"/>
  <c r="F49" i="1"/>
  <c r="F48" i="1"/>
  <c r="F47" i="1"/>
  <c r="F46" i="1"/>
  <c r="F44" i="1"/>
  <c r="F43" i="1"/>
  <c r="R43" i="1" s="1"/>
  <c r="C43" i="1"/>
  <c r="F42" i="1"/>
  <c r="E46" i="1"/>
  <c r="E47" i="1"/>
  <c r="R47" i="1" s="1"/>
  <c r="E48" i="1"/>
  <c r="R48" i="1" s="1"/>
  <c r="E49" i="1"/>
  <c r="D46" i="1"/>
  <c r="R46" i="1" s="1"/>
  <c r="S46" i="1" s="1"/>
  <c r="D49" i="1"/>
  <c r="R49" i="1" s="1"/>
  <c r="D48" i="1"/>
  <c r="D47" i="1"/>
  <c r="C44" i="1"/>
  <c r="R44" i="1" s="1"/>
  <c r="C42" i="1"/>
  <c r="R42" i="1" s="1"/>
  <c r="C57" i="1" l="1"/>
  <c r="C59" i="1" s="1"/>
  <c r="N55" i="1"/>
  <c r="N57" i="1" s="1"/>
  <c r="N59" i="1" s="1"/>
  <c r="D31" i="1"/>
  <c r="D11" i="1"/>
  <c r="D14" i="1"/>
  <c r="D7" i="1"/>
  <c r="D27" i="1" s="1"/>
  <c r="D17" i="1" l="1"/>
  <c r="D20" i="1" l="1"/>
  <c r="G63" i="3" s="1"/>
  <c r="F7" i="2"/>
  <c r="F8" i="2"/>
  <c r="F9" i="2" s="1"/>
  <c r="F6" i="2"/>
  <c r="D6" i="2"/>
  <c r="E6" i="2" s="1"/>
  <c r="D8" i="2"/>
  <c r="E8" i="2" s="1"/>
  <c r="D9" i="2"/>
  <c r="E9" i="2" s="1"/>
  <c r="D7" i="2"/>
  <c r="E7" i="2" s="1"/>
  <c r="D13" i="2"/>
  <c r="E13" i="2" s="1"/>
  <c r="D11" i="2"/>
  <c r="E11" i="2" s="1"/>
  <c r="D12" i="2"/>
  <c r="E12" i="2" s="1"/>
  <c r="D10" i="2"/>
  <c r="E10" i="2" s="1"/>
  <c r="D34" i="1" l="1"/>
  <c r="C62" i="1" s="1"/>
  <c r="D70" i="1"/>
  <c r="D72" i="1" s="1"/>
  <c r="D73" i="1" s="1"/>
  <c r="D74" i="1" s="1"/>
  <c r="F10" i="2"/>
  <c r="F11" i="2" s="1"/>
  <c r="F12" i="2" s="1"/>
  <c r="F13" i="2" s="1"/>
  <c r="G52" i="1" l="1"/>
  <c r="J52" i="1"/>
  <c r="H52" i="1"/>
  <c r="F52" i="1"/>
  <c r="O52" i="1"/>
  <c r="M52" i="1"/>
  <c r="K52" i="1"/>
  <c r="P52" i="1"/>
  <c r="E52" i="1"/>
  <c r="D52" i="1"/>
  <c r="L52" i="1"/>
  <c r="O45" i="1"/>
  <c r="O50" i="1" s="1"/>
  <c r="K45" i="1"/>
  <c r="K51" i="1" s="1"/>
  <c r="M45" i="1"/>
  <c r="J45" i="1"/>
  <c r="J51" i="1" s="1"/>
  <c r="H45" i="1"/>
  <c r="H50" i="1" s="1"/>
  <c r="G45" i="1"/>
  <c r="G50" i="1" s="1"/>
  <c r="F45" i="1"/>
  <c r="F50" i="1" s="1"/>
  <c r="E45" i="1"/>
  <c r="E50" i="1" s="1"/>
  <c r="P45" i="1"/>
  <c r="P50" i="1" s="1"/>
  <c r="L45" i="1"/>
  <c r="L51" i="1" s="1"/>
  <c r="D45" i="1"/>
  <c r="P55" i="1" l="1"/>
  <c r="O55" i="1"/>
  <c r="F55" i="1"/>
  <c r="F57" i="1" s="1"/>
  <c r="E55" i="1"/>
  <c r="E57" i="1" s="1"/>
  <c r="P57" i="1"/>
  <c r="M51" i="1"/>
  <c r="R51" i="1" s="1"/>
  <c r="M64" i="1"/>
  <c r="M55" i="1"/>
  <c r="M57" i="1" s="1"/>
  <c r="G55" i="1"/>
  <c r="G57" i="1" s="1"/>
  <c r="O57" i="1"/>
  <c r="L55" i="1"/>
  <c r="L57" i="1" s="1"/>
  <c r="L63" i="1"/>
  <c r="H55" i="1"/>
  <c r="H57" i="1" s="1"/>
  <c r="D50" i="1"/>
  <c r="R45" i="1"/>
  <c r="J63" i="1"/>
  <c r="J55" i="1"/>
  <c r="J57" i="1" s="1"/>
  <c r="K55" i="1"/>
  <c r="K57" i="1" s="1"/>
  <c r="K63" i="1"/>
  <c r="R52" i="1"/>
  <c r="G61" i="3" s="1"/>
  <c r="R55" i="1" l="1"/>
  <c r="D57" i="1"/>
  <c r="R57" i="1" s="1"/>
  <c r="R50" i="1"/>
  <c r="G62" i="3" l="1"/>
  <c r="G64" i="3" s="1"/>
  <c r="F65" i="3" s="1"/>
  <c r="A59" i="1" s="1"/>
  <c r="S58" i="1" s="1"/>
  <c r="E58" i="1" l="1"/>
  <c r="E59" i="1" s="1"/>
  <c r="P58" i="1"/>
  <c r="P59" i="1" s="1"/>
  <c r="O58" i="1"/>
  <c r="O59" i="1" s="1"/>
  <c r="K58" i="1"/>
  <c r="K59" i="1" s="1"/>
  <c r="L58" i="1"/>
  <c r="L59" i="1" s="1"/>
  <c r="J58" i="1"/>
  <c r="J59" i="1" s="1"/>
  <c r="F58" i="1"/>
  <c r="F59" i="1" s="1"/>
  <c r="H58" i="1"/>
  <c r="H59" i="1" s="1"/>
  <c r="D58" i="1"/>
  <c r="D59" i="1" s="1"/>
  <c r="M58" i="1"/>
  <c r="M59" i="1" s="1"/>
  <c r="G58" i="1"/>
  <c r="G59" i="1" s="1"/>
  <c r="R58" i="1" l="1"/>
  <c r="R59" i="1" s="1"/>
</calcChain>
</file>

<file path=xl/sharedStrings.xml><?xml version="1.0" encoding="utf-8"?>
<sst xmlns="http://schemas.openxmlformats.org/spreadsheetml/2006/main" count="216" uniqueCount="169">
  <si>
    <t>Actif</t>
  </si>
  <si>
    <t>Contrat de capi Quintessa Capi</t>
  </si>
  <si>
    <t>LCL</t>
  </si>
  <si>
    <t>Crédit Agricole</t>
  </si>
  <si>
    <t>Banque Populaire</t>
  </si>
  <si>
    <t>Restitution garantie Villa Médicis</t>
  </si>
  <si>
    <t>Passif</t>
  </si>
  <si>
    <t>Créance restitution</t>
  </si>
  <si>
    <t>Inventaire biens meubles</t>
  </si>
  <si>
    <t>QUINTESSA</t>
  </si>
  <si>
    <t>Assurance-Vie</t>
  </si>
  <si>
    <t>TOTAL</t>
  </si>
  <si>
    <t>Frais funerailles</t>
  </si>
  <si>
    <t>or</t>
  </si>
  <si>
    <t>Restitution assurance habitation</t>
  </si>
  <si>
    <t>TVA fermages</t>
  </si>
  <si>
    <t>https://www.loomis-fxgs.fr/fr/conditions-generales-dachat-cga/</t>
  </si>
  <si>
    <t>frais dossier LCL</t>
  </si>
  <si>
    <t>frais dossier CA</t>
  </si>
  <si>
    <t>frais dossier BP</t>
  </si>
  <si>
    <t>Aesio mutuelle</t>
  </si>
  <si>
    <t>Retraite</t>
  </si>
  <si>
    <t>Montrond (à confirmer)</t>
  </si>
  <si>
    <t>IMPOTS PRELEVEMENTS 2025</t>
  </si>
  <si>
    <t>URSSAF</t>
  </si>
  <si>
    <t>SALAIRES</t>
  </si>
  <si>
    <t>pas encore rendu. Montant à confirmer</t>
  </si>
  <si>
    <t>Fermages 2024/2025 HT</t>
  </si>
  <si>
    <t>IR 2026</t>
  </si>
  <si>
    <t>Anne Françoise</t>
  </si>
  <si>
    <t>Caroline</t>
  </si>
  <si>
    <t>Rosalie</t>
  </si>
  <si>
    <t>Mathias</t>
  </si>
  <si>
    <t>Pierre</t>
  </si>
  <si>
    <t xml:space="preserve">Jules </t>
  </si>
  <si>
    <t>Constance</t>
  </si>
  <si>
    <t>Louis</t>
  </si>
  <si>
    <t xml:space="preserve">Simon </t>
  </si>
  <si>
    <t>Alexandre</t>
  </si>
  <si>
    <t>Elodie</t>
  </si>
  <si>
    <t>Vincent</t>
  </si>
  <si>
    <t>Ulysse</t>
  </si>
  <si>
    <t>Clémence</t>
  </si>
  <si>
    <t>Capitaux décès Assurance-vie</t>
  </si>
  <si>
    <t>Fiscalité assurance-vie</t>
  </si>
  <si>
    <t>Droits de succession</t>
  </si>
  <si>
    <t>à 5%</t>
  </si>
  <si>
    <t>à 10%</t>
  </si>
  <si>
    <t>à 15%</t>
  </si>
  <si>
    <t>à 20%</t>
  </si>
  <si>
    <t>à 30%</t>
  </si>
  <si>
    <t>Emoluments notaire</t>
  </si>
  <si>
    <t>Proportionnel</t>
  </si>
  <si>
    <t>Dévolution successorale (Valeur au décès)</t>
  </si>
  <si>
    <t>TOTAL NET VALEUR JOUR DECES</t>
  </si>
  <si>
    <t>TOTAL NET VALEUR ACTUELLE</t>
  </si>
  <si>
    <t>ACTIF NET REEVALUE</t>
  </si>
  <si>
    <t>Valeur OR cours actuel</t>
  </si>
  <si>
    <t>dont 32 000€ par compensation de créances</t>
  </si>
  <si>
    <t>Reste dans la tranche à 20%</t>
  </si>
  <si>
    <t>Reste dans la tranche à 30%</t>
  </si>
  <si>
    <r>
      <t>De </t>
    </r>
    <r>
      <rPr>
        <b/>
        <sz val="12"/>
        <color rgb="FF3A3A3A"/>
        <rFont val="Arial"/>
        <family val="2"/>
      </rPr>
      <t>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6 500 €</t>
    </r>
  </si>
  <si>
    <r>
      <t>1,548 %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</si>
  <si>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6 500 €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17 000 €</t>
    </r>
  </si>
  <si>
    <r>
      <t>0,851 %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</si>
  <si>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17 000 €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30 000 €</t>
    </r>
  </si>
  <si>
    <r>
      <t>0,580 %</t>
    </r>
    <r>
      <rPr>
        <sz val="12"/>
        <color rgb="FF3A3A3A"/>
        <rFont val="Arial"/>
        <family val="2"/>
      </rPr>
      <t> HT de l'actif brut</t>
    </r>
  </si>
  <si>
    <r>
      <t>Plus de </t>
    </r>
    <r>
      <rPr>
        <b/>
        <sz val="12"/>
        <color rgb="FF3A3A3A"/>
        <rFont val="Arial"/>
        <family val="2"/>
      </rPr>
      <t>30 000 €</t>
    </r>
  </si>
  <si>
    <r>
      <t>0,426 %</t>
    </r>
    <r>
      <rPr>
        <sz val="12"/>
        <color rgb="FF3A3A3A"/>
        <rFont val="Arial"/>
        <family val="2"/>
      </rPr>
      <t> HT de l'actif brut</t>
    </r>
  </si>
  <si>
    <t>TOTAL HT</t>
  </si>
  <si>
    <t>TVA</t>
  </si>
  <si>
    <t>TOTAL TTC</t>
  </si>
  <si>
    <t>Valeur Succession</t>
  </si>
  <si>
    <t>Frais de notaire</t>
  </si>
  <si>
    <t>Quote part lingot/actif BRUT</t>
  </si>
  <si>
    <t>Frais et droits acquisition proratisés</t>
  </si>
  <si>
    <t>ESSAYEUR</t>
  </si>
  <si>
    <t>DATE</t>
  </si>
  <si>
    <t>NUMERO</t>
  </si>
  <si>
    <t>POIDS BRUT</t>
  </si>
  <si>
    <t>TITRE OR</t>
  </si>
  <si>
    <t>POIDS DE L'OR FIN</t>
  </si>
  <si>
    <t>COMPAGNIE DES METAUX PRECIEUX</t>
  </si>
  <si>
    <t>NUMERO PHOTO</t>
  </si>
  <si>
    <t>P1020480</t>
  </si>
  <si>
    <t>P1020482</t>
  </si>
  <si>
    <t>P1020483</t>
  </si>
  <si>
    <t>P1020484</t>
  </si>
  <si>
    <t>LABORATOIRE PAUL DUBOIS ET FILS</t>
  </si>
  <si>
    <t>P1020485</t>
  </si>
  <si>
    <t>P1020486</t>
  </si>
  <si>
    <t>LABORATOIRE BOUDET</t>
  </si>
  <si>
    <t>P1020487</t>
  </si>
  <si>
    <t>PRIX AU KG CPR OR LOOMIS 27102025</t>
  </si>
  <si>
    <t>PRIX AU KG LBMA 27102025 PM</t>
  </si>
  <si>
    <t>P1020488</t>
  </si>
  <si>
    <t>COMPTOIR LYON-ALEMAND, LOUYOT &amp; Cie</t>
  </si>
  <si>
    <t>P1020489</t>
  </si>
  <si>
    <t>W22</t>
  </si>
  <si>
    <t>P1020490</t>
  </si>
  <si>
    <t>P1020491</t>
  </si>
  <si>
    <t>P1020492</t>
  </si>
  <si>
    <t>P1020493</t>
  </si>
  <si>
    <t>P1020494</t>
  </si>
  <si>
    <t>P1020495</t>
  </si>
  <si>
    <t>P1020496</t>
  </si>
  <si>
    <t>P1020497</t>
  </si>
  <si>
    <t>P1020498</t>
  </si>
  <si>
    <t>P1020499</t>
  </si>
  <si>
    <t>P1020500</t>
  </si>
  <si>
    <t>79797 / 59674J</t>
  </si>
  <si>
    <t>P1020501</t>
  </si>
  <si>
    <t>P1020502</t>
  </si>
  <si>
    <t>P1020503</t>
  </si>
  <si>
    <t>P1020504</t>
  </si>
  <si>
    <t>P1020505</t>
  </si>
  <si>
    <t>P1020506</t>
  </si>
  <si>
    <t>P1020507</t>
  </si>
  <si>
    <t>P1020508</t>
  </si>
  <si>
    <t>P1020509</t>
  </si>
  <si>
    <t>P1020510</t>
  </si>
  <si>
    <t>P1020511</t>
  </si>
  <si>
    <t>P1020512</t>
  </si>
  <si>
    <t>P1020513</t>
  </si>
  <si>
    <t>P1020514</t>
  </si>
  <si>
    <t>P1020515</t>
  </si>
  <si>
    <t>P1020516</t>
  </si>
  <si>
    <t>P1020517</t>
  </si>
  <si>
    <t>P1020518</t>
  </si>
  <si>
    <t>P1020519</t>
  </si>
  <si>
    <t>P1020520</t>
  </si>
  <si>
    <t>P1020521</t>
  </si>
  <si>
    <t>P1020522</t>
  </si>
  <si>
    <t>P1020523</t>
  </si>
  <si>
    <t>P1020525</t>
  </si>
  <si>
    <t>P1020526</t>
  </si>
  <si>
    <t>P1020527</t>
  </si>
  <si>
    <t>P1020528</t>
  </si>
  <si>
    <t>P1020529</t>
  </si>
  <si>
    <t>P1020530</t>
  </si>
  <si>
    <t>CAPLAIN SAINT ANDRE</t>
  </si>
  <si>
    <t>ANCIENS ETABLISSEMENTS LEON MARTIN</t>
  </si>
  <si>
    <t>33454/121508</t>
  </si>
  <si>
    <t>W607</t>
  </si>
  <si>
    <t>P1020531</t>
  </si>
  <si>
    <t>BRANCHE MICHEL GROS</t>
  </si>
  <si>
    <t>BRANCHE ANNE-FRANCOISE PARENT-GROS</t>
  </si>
  <si>
    <t>BRANCHE BERNARD GROS</t>
  </si>
  <si>
    <t>Créance de restitution (aucune fiscalité)</t>
  </si>
  <si>
    <t>Montant d'abattement dont bénéficie chaque héritier</t>
  </si>
  <si>
    <t>Autres débours et frais notariés (estimation)</t>
  </si>
  <si>
    <t>NOMBRE LINGOTS</t>
  </si>
  <si>
    <t>TOTAL NET FISCALITE VALEUR ACTUELLE</t>
  </si>
  <si>
    <t>Soit un prix de revient fiscal par lingot</t>
  </si>
  <si>
    <t>POIDS TOTAL EN KG</t>
  </si>
  <si>
    <t>POIDS NET OR FIN</t>
  </si>
  <si>
    <t>VALEUR JOUR DECES</t>
  </si>
  <si>
    <t>A CALCULER</t>
  </si>
  <si>
    <t>TOTAL ACTIF BRUT</t>
  </si>
  <si>
    <t>TOTAL ACTIF NET</t>
  </si>
  <si>
    <t>montant précis des capitaux décès nets de PS et avant prélèvement successoral à affiner</t>
  </si>
  <si>
    <t>PRIX REVIENT FISCAL LINGOT</t>
  </si>
  <si>
    <t>IMPOT PLUS VALUE LINGOT (TAUX 37,6%)</t>
  </si>
  <si>
    <t>Créance AFG</t>
  </si>
  <si>
    <t>EMOLUMENTS PROPORTIONNELS NOTAIRE</t>
  </si>
  <si>
    <t>Rendement brut</t>
  </si>
  <si>
    <t>PS</t>
  </si>
  <si>
    <t>Rendement net</t>
  </si>
  <si>
    <t>Taux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</si>
</sst>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A3A3A"/>
      <name val="Arial"/>
      <family val="2"/>
    </font>
    <font>
      <b/>
      <sz val="12"/>
      <color rgb="FF3A3A3A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10" fontId="0" fillId="0" borderId="0" xfId="0" applyNumberFormat="1"/>
    <xf numFmtId="10" fontId="0" fillId="0" borderId="0" xfId="2" applyNumberFormat="1" applyFont="1"/>
    <xf numFmtId="44" fontId="0" fillId="0" borderId="0" xfId="0" applyNumberFormat="1"/>
    <xf numFmtId="6" fontId="0" fillId="0" borderId="0" xfId="1" applyNumberFormat="1" applyFont="1"/>
    <xf numFmtId="16" fontId="0" fillId="0" borderId="0" xfId="0" applyNumberFormat="1"/>
    <xf numFmtId="6" fontId="0" fillId="2" borderId="0" xfId="1" applyNumberFormat="1" applyFont="1" applyFill="1"/>
    <xf numFmtId="0" fontId="2" fillId="0" borderId="0" xfId="3"/>
    <xf numFmtId="8" fontId="0" fillId="0" borderId="0" xfId="1" applyNumberFormat="1" applyFont="1" applyFill="1"/>
    <xf numFmtId="44" fontId="0" fillId="3" borderId="0" xfId="1" applyFont="1" applyFill="1"/>
    <xf numFmtId="8" fontId="0" fillId="0" borderId="0" xfId="0" applyNumberFormat="1"/>
    <xf numFmtId="44" fontId="0" fillId="2" borderId="0" xfId="1" applyFont="1" applyFill="1"/>
    <xf numFmtId="8" fontId="0" fillId="3" borderId="0" xfId="1" applyNumberFormat="1" applyFont="1" applyFill="1"/>
    <xf numFmtId="6" fontId="0" fillId="3" borderId="0" xfId="1" applyNumberFormat="1" applyFont="1" applyFill="1"/>
    <xf numFmtId="0" fontId="0" fillId="0" borderId="1" xfId="0" applyBorder="1"/>
    <xf numFmtId="44" fontId="0" fillId="0" borderId="1" xfId="0" applyNumberFormat="1" applyBorder="1"/>
    <xf numFmtId="44" fontId="0" fillId="0" borderId="1" xfId="1" applyFont="1" applyBorder="1"/>
    <xf numFmtId="44" fontId="3" fillId="0" borderId="1" xfId="1" applyFont="1" applyBorder="1"/>
    <xf numFmtId="44" fontId="3" fillId="0" borderId="1" xfId="0" applyNumberFormat="1" applyFont="1" applyBorder="1"/>
    <xf numFmtId="8" fontId="0" fillId="0" borderId="1" xfId="0" applyNumberFormat="1" applyBorder="1"/>
    <xf numFmtId="9" fontId="0" fillId="0" borderId="1" xfId="0" applyNumberFormat="1" applyBorder="1"/>
    <xf numFmtId="6" fontId="0" fillId="0" borderId="1" xfId="0" applyNumberFormat="1" applyBorder="1"/>
    <xf numFmtId="44" fontId="4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4" fontId="4" fillId="5" borderId="1" xfId="0" applyNumberFormat="1" applyFont="1" applyFill="1" applyBorder="1"/>
    <xf numFmtId="0" fontId="3" fillId="0" borderId="1" xfId="0" applyFont="1" applyBorder="1"/>
    <xf numFmtId="0" fontId="4" fillId="0" borderId="0" xfId="0" applyFont="1"/>
    <xf numFmtId="0" fontId="9" fillId="0" borderId="0" xfId="0" applyFont="1"/>
    <xf numFmtId="14" fontId="0" fillId="2" borderId="1" xfId="0" applyNumberFormat="1" applyFill="1" applyBorder="1"/>
    <xf numFmtId="44" fontId="9" fillId="0" borderId="0" xfId="1" applyFont="1"/>
    <xf numFmtId="44" fontId="4" fillId="0" borderId="0" xfId="0" applyNumberFormat="1" applyFont="1"/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4" fontId="0" fillId="2" borderId="1" xfId="1" applyFont="1" applyFill="1" applyBorder="1"/>
    <xf numFmtId="165" fontId="0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oomis-fxgs.fr/fr/conditions-generales-dachat-c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74"/>
  <sheetViews>
    <sheetView tabSelected="1" topLeftCell="A39" zoomScale="103" workbookViewId="0">
      <selection activeCell="B64" sqref="B64"/>
    </sheetView>
  </sheetViews>
  <sheetFormatPr baseColWidth="10" defaultColWidth="9.1796875" defaultRowHeight="14.5" x14ac:dyDescent="0.35"/>
  <cols>
    <col min="1" max="1" width="39.54296875" customWidth="1"/>
    <col min="2" max="2" width="51.54296875" customWidth="1"/>
    <col min="3" max="3" width="33.26953125" customWidth="1"/>
    <col min="4" max="4" width="18.81640625" bestFit="1" customWidth="1"/>
    <col min="5" max="6" width="18.54296875" customWidth="1"/>
    <col min="7" max="7" width="19.7265625" customWidth="1"/>
    <col min="8" max="8" width="12.81640625" bestFit="1" customWidth="1"/>
    <col min="9" max="9" width="25.7265625" customWidth="1"/>
    <col min="10" max="10" width="13.7265625" bestFit="1" customWidth="1"/>
    <col min="11" max="11" width="12.81640625" bestFit="1" customWidth="1"/>
    <col min="12" max="12" width="17.1796875" customWidth="1"/>
    <col min="13" max="13" width="14.26953125" bestFit="1" customWidth="1"/>
    <col min="14" max="16" width="12.81640625" bestFit="1" customWidth="1"/>
    <col min="18" max="18" width="14.26953125" bestFit="1" customWidth="1"/>
    <col min="19" max="19" width="12.81640625" bestFit="1" customWidth="1"/>
  </cols>
  <sheetData>
    <row r="3" spans="3:11" x14ac:dyDescent="0.35">
      <c r="F3" s="8" t="s">
        <v>16</v>
      </c>
    </row>
    <row r="4" spans="3:11" x14ac:dyDescent="0.35">
      <c r="C4" t="s">
        <v>0</v>
      </c>
    </row>
    <row r="5" spans="3:11" x14ac:dyDescent="0.35">
      <c r="C5" t="s">
        <v>1</v>
      </c>
      <c r="D5" s="10">
        <v>337413.02</v>
      </c>
    </row>
    <row r="6" spans="3:11" x14ac:dyDescent="0.35">
      <c r="C6" t="s">
        <v>2</v>
      </c>
      <c r="D6" s="10">
        <v>6040.67</v>
      </c>
    </row>
    <row r="7" spans="3:11" x14ac:dyDescent="0.35">
      <c r="C7" t="s">
        <v>3</v>
      </c>
      <c r="D7" s="10">
        <f>15798.83+631.23+45+19</f>
        <v>16494.060000000001</v>
      </c>
      <c r="I7" t="s">
        <v>10</v>
      </c>
      <c r="J7" s="12">
        <v>140000</v>
      </c>
      <c r="K7" t="s">
        <v>160</v>
      </c>
    </row>
    <row r="8" spans="3:11" x14ac:dyDescent="0.35">
      <c r="C8" t="s">
        <v>4</v>
      </c>
      <c r="D8" s="10">
        <v>8899.58</v>
      </c>
    </row>
    <row r="9" spans="3:11" x14ac:dyDescent="0.35">
      <c r="C9" t="s">
        <v>5</v>
      </c>
      <c r="D9" s="12">
        <v>4636.3599999999997</v>
      </c>
      <c r="E9" t="s">
        <v>26</v>
      </c>
    </row>
    <row r="10" spans="3:11" x14ac:dyDescent="0.35">
      <c r="C10" t="s">
        <v>14</v>
      </c>
      <c r="D10" s="10">
        <v>28.23</v>
      </c>
    </row>
    <row r="11" spans="3:11" x14ac:dyDescent="0.35">
      <c r="C11" t="s">
        <v>27</v>
      </c>
      <c r="D11" s="10">
        <f>(4642.99+3816.16)/1.2</f>
        <v>7049.291666666667</v>
      </c>
    </row>
    <row r="12" spans="3:11" x14ac:dyDescent="0.35">
      <c r="C12" t="s">
        <v>8</v>
      </c>
      <c r="D12" s="12">
        <v>2000</v>
      </c>
    </row>
    <row r="13" spans="3:11" x14ac:dyDescent="0.35">
      <c r="C13" t="s">
        <v>20</v>
      </c>
      <c r="D13" s="12">
        <v>476.37</v>
      </c>
    </row>
    <row r="14" spans="3:11" x14ac:dyDescent="0.35">
      <c r="C14" t="s">
        <v>21</v>
      </c>
      <c r="D14" s="12">
        <f>623.86+73.1</f>
        <v>696.96</v>
      </c>
    </row>
    <row r="15" spans="3:11" x14ac:dyDescent="0.35">
      <c r="C15" t="s">
        <v>163</v>
      </c>
      <c r="D15" s="10">
        <v>32000</v>
      </c>
    </row>
    <row r="16" spans="3:11" x14ac:dyDescent="0.35">
      <c r="C16" t="s">
        <v>22</v>
      </c>
      <c r="D16" s="12">
        <v>155</v>
      </c>
    </row>
    <row r="17" spans="3:8" x14ac:dyDescent="0.35">
      <c r="C17" t="s">
        <v>11</v>
      </c>
      <c r="D17" s="4">
        <f>SUM(D5:D16)</f>
        <v>415889.54166666669</v>
      </c>
      <c r="E17" t="s">
        <v>151</v>
      </c>
      <c r="F17" t="s">
        <v>156</v>
      </c>
    </row>
    <row r="18" spans="3:8" x14ac:dyDescent="0.35">
      <c r="C18" t="s">
        <v>13</v>
      </c>
      <c r="D18" s="1">
        <f>E18*F18</f>
        <v>5484324</v>
      </c>
      <c r="E18">
        <v>50</v>
      </c>
      <c r="F18" s="1">
        <v>109686.48</v>
      </c>
      <c r="G18" t="s">
        <v>94</v>
      </c>
    </row>
    <row r="19" spans="3:8" x14ac:dyDescent="0.35">
      <c r="D19" s="1"/>
      <c r="F19" s="1">
        <v>110530</v>
      </c>
      <c r="G19" t="s">
        <v>93</v>
      </c>
    </row>
    <row r="20" spans="3:8" x14ac:dyDescent="0.35">
      <c r="C20" s="30" t="s">
        <v>158</v>
      </c>
      <c r="D20" s="34">
        <f>D18+D17</f>
        <v>5900213.541666667</v>
      </c>
    </row>
    <row r="22" spans="3:8" x14ac:dyDescent="0.35">
      <c r="C22" t="s">
        <v>6</v>
      </c>
    </row>
    <row r="23" spans="3:8" x14ac:dyDescent="0.35">
      <c r="C23" t="s">
        <v>7</v>
      </c>
      <c r="D23" s="11">
        <v>486561.58</v>
      </c>
      <c r="H23" s="11"/>
    </row>
    <row r="24" spans="3:8" x14ac:dyDescent="0.35">
      <c r="C24" t="s">
        <v>15</v>
      </c>
      <c r="D24" s="1">
        <v>0</v>
      </c>
    </row>
    <row r="25" spans="3:8" x14ac:dyDescent="0.35">
      <c r="C25" t="s">
        <v>12</v>
      </c>
      <c r="D25" s="7">
        <v>8006.08</v>
      </c>
    </row>
    <row r="26" spans="3:8" x14ac:dyDescent="0.35">
      <c r="C26" t="s">
        <v>17</v>
      </c>
      <c r="D26" s="9">
        <v>60.41</v>
      </c>
    </row>
    <row r="27" spans="3:8" x14ac:dyDescent="0.35">
      <c r="C27" t="s">
        <v>18</v>
      </c>
      <c r="D27" s="7">
        <f>0.01*D7</f>
        <v>164.94060000000002</v>
      </c>
    </row>
    <row r="28" spans="3:8" x14ac:dyDescent="0.35">
      <c r="C28" t="s">
        <v>19</v>
      </c>
      <c r="D28" s="5">
        <v>89</v>
      </c>
    </row>
    <row r="29" spans="3:8" x14ac:dyDescent="0.35">
      <c r="C29" t="s">
        <v>23</v>
      </c>
      <c r="D29" s="5">
        <v>58</v>
      </c>
    </row>
    <row r="30" spans="3:8" x14ac:dyDescent="0.35">
      <c r="C30" t="s">
        <v>24</v>
      </c>
      <c r="D30" s="13">
        <v>10312.16</v>
      </c>
    </row>
    <row r="31" spans="3:8" x14ac:dyDescent="0.35">
      <c r="C31" t="s">
        <v>25</v>
      </c>
      <c r="D31" s="14">
        <f>991.98+560.55+736.92+437.87+1350+7526.85</f>
        <v>11604.17</v>
      </c>
    </row>
    <row r="32" spans="3:8" x14ac:dyDescent="0.35">
      <c r="C32" t="s">
        <v>28</v>
      </c>
      <c r="D32" s="7" t="s">
        <v>157</v>
      </c>
    </row>
    <row r="33" spans="1:19" x14ac:dyDescent="0.35">
      <c r="D33" s="5"/>
    </row>
    <row r="34" spans="1:19" ht="15.5" x14ac:dyDescent="0.35">
      <c r="C34" s="31" t="s">
        <v>159</v>
      </c>
      <c r="D34" s="33">
        <f>D20-D23-D24-D25-D27-D26-D28-D29-D30-D31</f>
        <v>5383357.2010666663</v>
      </c>
    </row>
    <row r="36" spans="1:19" x14ac:dyDescent="0.35">
      <c r="C36" s="6"/>
    </row>
    <row r="38" spans="1:19" x14ac:dyDescent="0.35">
      <c r="D38" s="4"/>
    </row>
    <row r="40" spans="1:19" x14ac:dyDescent="0.35">
      <c r="C40" s="42" t="s">
        <v>145</v>
      </c>
      <c r="D40" s="43"/>
      <c r="E40" s="43"/>
      <c r="F40" s="43"/>
      <c r="G40" s="43"/>
      <c r="H40" s="44"/>
      <c r="I40" s="42" t="s">
        <v>146</v>
      </c>
      <c r="J40" s="43"/>
      <c r="K40" s="43"/>
      <c r="L40" s="44"/>
      <c r="M40" s="45" t="s">
        <v>147</v>
      </c>
      <c r="N40" s="45"/>
      <c r="O40" s="45"/>
      <c r="P40" s="45"/>
    </row>
    <row r="41" spans="1:19" x14ac:dyDescent="0.35">
      <c r="A41" s="15"/>
      <c r="B41" s="15"/>
      <c r="C41" s="15" t="s">
        <v>33</v>
      </c>
      <c r="D41" s="15" t="s">
        <v>34</v>
      </c>
      <c r="E41" s="15" t="s">
        <v>35</v>
      </c>
      <c r="F41" s="15" t="s">
        <v>36</v>
      </c>
      <c r="G41" s="15" t="s">
        <v>37</v>
      </c>
      <c r="H41" s="15" t="s">
        <v>38</v>
      </c>
      <c r="I41" s="15" t="s">
        <v>29</v>
      </c>
      <c r="J41" s="15" t="s">
        <v>30</v>
      </c>
      <c r="K41" s="15" t="s">
        <v>31</v>
      </c>
      <c r="L41" s="15" t="s">
        <v>32</v>
      </c>
      <c r="M41" s="15" t="s">
        <v>39</v>
      </c>
      <c r="N41" s="15" t="s">
        <v>40</v>
      </c>
      <c r="O41" s="15" t="s">
        <v>41</v>
      </c>
      <c r="P41" s="15" t="s">
        <v>42</v>
      </c>
      <c r="Q41" s="15"/>
      <c r="R41" s="15" t="s">
        <v>11</v>
      </c>
    </row>
    <row r="42" spans="1:19" x14ac:dyDescent="0.35">
      <c r="A42" s="15" t="s">
        <v>43</v>
      </c>
      <c r="B42" s="15"/>
      <c r="C42" s="16">
        <f>J7/12</f>
        <v>11666.666666666666</v>
      </c>
      <c r="D42" s="17">
        <v>0</v>
      </c>
      <c r="E42" s="17">
        <v>0</v>
      </c>
      <c r="F42" s="16">
        <f>J7/12</f>
        <v>11666.666666666666</v>
      </c>
      <c r="G42" s="16">
        <f>J7/12</f>
        <v>11666.666666666666</v>
      </c>
      <c r="H42" s="16">
        <f>J7/12</f>
        <v>11666.666666666666</v>
      </c>
      <c r="I42" s="16">
        <f>J7/3</f>
        <v>46666.666666666664</v>
      </c>
      <c r="J42" s="15">
        <v>0</v>
      </c>
      <c r="K42" s="15">
        <v>0</v>
      </c>
      <c r="L42" s="15">
        <v>0</v>
      </c>
      <c r="M42" s="16">
        <f>J7/6</f>
        <v>23333.333333333332</v>
      </c>
      <c r="N42" s="16">
        <f>J7/6</f>
        <v>23333.333333333332</v>
      </c>
      <c r="O42" s="16">
        <v>0</v>
      </c>
      <c r="P42" s="16">
        <v>0</v>
      </c>
      <c r="Q42" s="15"/>
      <c r="R42" s="16">
        <f>SUM(C42:Q42)</f>
        <v>140000</v>
      </c>
    </row>
    <row r="43" spans="1:19" x14ac:dyDescent="0.35">
      <c r="A43" s="15" t="s">
        <v>44</v>
      </c>
      <c r="B43" s="15"/>
      <c r="C43" s="18">
        <f>- ((74259.48-30500)/12-1594)*0.05</f>
        <v>-102.63116666666666</v>
      </c>
      <c r="D43" s="17">
        <v>0</v>
      </c>
      <c r="E43" s="17">
        <v>0</v>
      </c>
      <c r="F43" s="18">
        <f>- ((74259.48-30500)/12-1594)*0.05</f>
        <v>-102.63116666666666</v>
      </c>
      <c r="G43" s="18">
        <f>- ((74259.48-30500)/12-1594)*0.05</f>
        <v>-102.63116666666666</v>
      </c>
      <c r="H43" s="18">
        <f>- ((74259.48-30500)/12-1594)*0.05</f>
        <v>-102.63116666666666</v>
      </c>
      <c r="I43" s="18"/>
      <c r="J43" s="15">
        <v>0</v>
      </c>
      <c r="K43" s="15">
        <v>0</v>
      </c>
      <c r="L43" s="15">
        <v>0</v>
      </c>
      <c r="M43" s="18">
        <f>- ((74259.48-30500)/6-1594)*0.05</f>
        <v>-284.96233333333333</v>
      </c>
      <c r="N43" s="18">
        <f>- ((74259.48-30500)/6-1594)*0.05</f>
        <v>-284.96233333333333</v>
      </c>
      <c r="O43" s="17">
        <v>0</v>
      </c>
      <c r="P43" s="17">
        <v>0</v>
      </c>
      <c r="Q43" s="15"/>
      <c r="R43" s="19">
        <f>SUM(C43:Q43)</f>
        <v>-980.44933333333324</v>
      </c>
    </row>
    <row r="44" spans="1:19" x14ac:dyDescent="0.35">
      <c r="A44" s="15" t="s">
        <v>148</v>
      </c>
      <c r="B44" s="15"/>
      <c r="C44" s="20">
        <f>D23/12</f>
        <v>40546.798333333332</v>
      </c>
      <c r="D44" s="17">
        <v>0</v>
      </c>
      <c r="E44" s="17">
        <v>0</v>
      </c>
      <c r="F44" s="20">
        <f>D23/12</f>
        <v>40546.798333333332</v>
      </c>
      <c r="G44" s="20">
        <f>D23/12</f>
        <v>40546.798333333332</v>
      </c>
      <c r="H44" s="20">
        <f>D23/12</f>
        <v>40546.798333333332</v>
      </c>
      <c r="I44" s="20">
        <f>D23/3</f>
        <v>162187.19333333333</v>
      </c>
      <c r="J44" s="15">
        <v>0</v>
      </c>
      <c r="K44" s="15">
        <v>0</v>
      </c>
      <c r="L44" s="15">
        <v>0</v>
      </c>
      <c r="M44" s="20">
        <f>D23/6</f>
        <v>81093.596666666665</v>
      </c>
      <c r="N44" s="20">
        <f>D23/6</f>
        <v>81093.596666666665</v>
      </c>
      <c r="O44" s="17">
        <v>0</v>
      </c>
      <c r="P44" s="17">
        <v>0</v>
      </c>
      <c r="Q44" s="15"/>
      <c r="R44" s="20">
        <f>SUM(C44:P44)</f>
        <v>486561.58</v>
      </c>
    </row>
    <row r="45" spans="1:19" x14ac:dyDescent="0.35">
      <c r="A45" s="15" t="s">
        <v>53</v>
      </c>
      <c r="B45" s="15"/>
      <c r="C45" s="17">
        <v>0</v>
      </c>
      <c r="D45" s="16">
        <f>1/24*(D34-32000)+7114/16</f>
        <v>223417.84171111108</v>
      </c>
      <c r="E45" s="16">
        <f>1/24*(D34-32000)+7114/16</f>
        <v>223417.84171111108</v>
      </c>
      <c r="F45" s="16">
        <f>(D34-32000)/12+7114/8</f>
        <v>446835.68342222221</v>
      </c>
      <c r="G45" s="16">
        <f>(D34-32000)/12+7114/8</f>
        <v>446835.68342222221</v>
      </c>
      <c r="H45" s="16">
        <f>(D34-32000)/12+7114/8</f>
        <v>446835.68342222221</v>
      </c>
      <c r="I45" s="17">
        <v>32000</v>
      </c>
      <c r="J45" s="16">
        <f>(D34-32000)/9-7114/3</f>
        <v>592223.91122962954</v>
      </c>
      <c r="K45" s="16">
        <f>(D34-32000)/9-7114/3</f>
        <v>592223.91122962954</v>
      </c>
      <c r="L45" s="16">
        <f>(D34-32000)/9-7114/3</f>
        <v>592223.91122962954</v>
      </c>
      <c r="M45" s="16">
        <f>(D34-32000)/6+7114/4</f>
        <v>893671.36684444442</v>
      </c>
      <c r="N45" s="17">
        <v>0</v>
      </c>
      <c r="O45" s="16">
        <f>(D34-32000)/12+7114/8</f>
        <v>446835.68342222221</v>
      </c>
      <c r="P45" s="16">
        <f>(D34-32000)/12+7114/8</f>
        <v>446835.68342222221</v>
      </c>
      <c r="Q45" s="15"/>
      <c r="R45" s="16">
        <f>SUM(C45:Q45)</f>
        <v>5383357.2010666654</v>
      </c>
    </row>
    <row r="46" spans="1:19" x14ac:dyDescent="0.35">
      <c r="A46" s="15" t="s">
        <v>45</v>
      </c>
      <c r="B46" s="15" t="s">
        <v>149</v>
      </c>
      <c r="C46" s="18">
        <v>0</v>
      </c>
      <c r="D46" s="17">
        <f>-90496/8</f>
        <v>-11312</v>
      </c>
      <c r="E46" s="17">
        <f>-90496/8</f>
        <v>-11312</v>
      </c>
      <c r="F46" s="17">
        <f>-90496/4</f>
        <v>-22624</v>
      </c>
      <c r="G46" s="17">
        <f t="shared" ref="G46:H46" si="0">-90496/4</f>
        <v>-22624</v>
      </c>
      <c r="H46" s="17">
        <f t="shared" si="0"/>
        <v>-22624</v>
      </c>
      <c r="I46" s="17">
        <f>-(14586+32000)</f>
        <v>-46586</v>
      </c>
      <c r="J46" s="17">
        <f>-(90496-14586-32000)/3</f>
        <v>-14636.666666666666</v>
      </c>
      <c r="K46" s="17">
        <f t="shared" ref="K46:L46" si="1">-(90496-14586-32000)/3</f>
        <v>-14636.666666666666</v>
      </c>
      <c r="L46" s="17">
        <f t="shared" si="1"/>
        <v>-14636.666666666666</v>
      </c>
      <c r="M46" s="17">
        <f>-90496/2</f>
        <v>-45248</v>
      </c>
      <c r="N46" s="17">
        <v>0</v>
      </c>
      <c r="O46" s="17">
        <f>-90496/4</f>
        <v>-22624</v>
      </c>
      <c r="P46" s="17">
        <f>-90496/4</f>
        <v>-22624</v>
      </c>
      <c r="Q46" s="15"/>
      <c r="R46" s="16">
        <f>SUM(D46:P46)</f>
        <v>-271488</v>
      </c>
      <c r="S46" s="4">
        <f>R46/3</f>
        <v>-90496</v>
      </c>
    </row>
    <row r="47" spans="1:19" x14ac:dyDescent="0.35">
      <c r="A47" s="15"/>
      <c r="B47" s="21" t="s">
        <v>46</v>
      </c>
      <c r="C47" s="18">
        <v>0</v>
      </c>
      <c r="D47" s="18">
        <f>-8072*0.05</f>
        <v>-403.6</v>
      </c>
      <c r="E47" s="18">
        <f>-8072*0.05</f>
        <v>-403.6</v>
      </c>
      <c r="F47" s="18">
        <f>-8072*0.05</f>
        <v>-403.6</v>
      </c>
      <c r="G47" s="18">
        <f>-8072*0.05</f>
        <v>-403.6</v>
      </c>
      <c r="H47" s="18">
        <f>-8072*0.05</f>
        <v>-403.6</v>
      </c>
      <c r="I47" s="18">
        <v>0</v>
      </c>
      <c r="J47" s="18">
        <f>-8072*0.05</f>
        <v>-403.6</v>
      </c>
      <c r="K47" s="18">
        <f>-8072*0.05</f>
        <v>-403.6</v>
      </c>
      <c r="L47" s="18">
        <f>-8072*0.05</f>
        <v>-403.6</v>
      </c>
      <c r="M47" s="18">
        <f>-8072*0.05</f>
        <v>-403.6</v>
      </c>
      <c r="N47" s="18">
        <v>0</v>
      </c>
      <c r="O47" s="18">
        <f>-8072*0.05</f>
        <v>-403.6</v>
      </c>
      <c r="P47" s="18">
        <f>-8072*0.05</f>
        <v>-403.6</v>
      </c>
      <c r="Q47" s="15"/>
      <c r="R47" s="19">
        <f>SUM(C47:Q47)</f>
        <v>-4439.5999999999995</v>
      </c>
    </row>
    <row r="48" spans="1:19" x14ac:dyDescent="0.35">
      <c r="A48" s="15"/>
      <c r="B48" s="21" t="s">
        <v>47</v>
      </c>
      <c r="C48" s="18">
        <v>0</v>
      </c>
      <c r="D48" s="18">
        <f>-4037*0.1</f>
        <v>-403.70000000000005</v>
      </c>
      <c r="E48" s="18">
        <f>-4037*0.1</f>
        <v>-403.70000000000005</v>
      </c>
      <c r="F48" s="18">
        <f>-4037*0.1</f>
        <v>-403.70000000000005</v>
      </c>
      <c r="G48" s="18">
        <f>-4037*0.1</f>
        <v>-403.70000000000005</v>
      </c>
      <c r="H48" s="18">
        <f>-4037*0.1</f>
        <v>-403.70000000000005</v>
      </c>
      <c r="I48" s="18">
        <v>0</v>
      </c>
      <c r="J48" s="18">
        <f>-4037*0.1</f>
        <v>-403.70000000000005</v>
      </c>
      <c r="K48" s="18">
        <f>-4037*0.1</f>
        <v>-403.70000000000005</v>
      </c>
      <c r="L48" s="18">
        <f>-4037*0.1</f>
        <v>-403.70000000000005</v>
      </c>
      <c r="M48" s="18">
        <f>-4037*0.1</f>
        <v>-403.70000000000005</v>
      </c>
      <c r="N48" s="18">
        <v>0</v>
      </c>
      <c r="O48" s="18">
        <f>-4037*0.1</f>
        <v>-403.70000000000005</v>
      </c>
      <c r="P48" s="18">
        <f>-4037*0.1</f>
        <v>-403.70000000000005</v>
      </c>
      <c r="Q48" s="15"/>
      <c r="R48" s="19">
        <f>SUM(C48:Q48)</f>
        <v>-4440.7</v>
      </c>
    </row>
    <row r="49" spans="1:19" x14ac:dyDescent="0.35">
      <c r="A49" s="15"/>
      <c r="B49" s="21" t="s">
        <v>48</v>
      </c>
      <c r="C49" s="18">
        <v>0</v>
      </c>
      <c r="D49" s="18">
        <f>-3823*0.15</f>
        <v>-573.44999999999993</v>
      </c>
      <c r="E49" s="18">
        <f>-3823*0.15</f>
        <v>-573.44999999999993</v>
      </c>
      <c r="F49" s="18">
        <f>-3823*0.15</f>
        <v>-573.44999999999993</v>
      </c>
      <c r="G49" s="18">
        <f>-3823*0.15</f>
        <v>-573.44999999999993</v>
      </c>
      <c r="H49" s="18">
        <f>-3823*0.15</f>
        <v>-573.44999999999993</v>
      </c>
      <c r="I49" s="18">
        <v>0</v>
      </c>
      <c r="J49" s="18">
        <f>-3823*0.15</f>
        <v>-573.44999999999993</v>
      </c>
      <c r="K49" s="18">
        <f>-3823*0.15</f>
        <v>-573.44999999999993</v>
      </c>
      <c r="L49" s="18">
        <f>-3823*0.15</f>
        <v>-573.44999999999993</v>
      </c>
      <c r="M49" s="18">
        <f>-3823*0.15</f>
        <v>-573.44999999999993</v>
      </c>
      <c r="N49" s="18">
        <v>0</v>
      </c>
      <c r="O49" s="18">
        <f>-3823*0.15</f>
        <v>-573.44999999999993</v>
      </c>
      <c r="P49" s="18">
        <f>-3823*0.15</f>
        <v>-573.44999999999993</v>
      </c>
      <c r="Q49" s="15"/>
      <c r="R49" s="19">
        <f>SUM(D49:P49)</f>
        <v>-6307.9499999999989</v>
      </c>
    </row>
    <row r="50" spans="1:19" x14ac:dyDescent="0.35">
      <c r="A50" s="15"/>
      <c r="B50" s="21" t="s">
        <v>49</v>
      </c>
      <c r="C50" s="18">
        <v>0</v>
      </c>
      <c r="D50" s="19">
        <f>-(D45+D46-15932)*0.2</f>
        <v>-39234.768342222218</v>
      </c>
      <c r="E50" s="19">
        <f>-(E45+E46-15932)*0.2</f>
        <v>-39234.768342222218</v>
      </c>
      <c r="F50" s="18">
        <f>-(F45+F46-15932)*0.2</f>
        <v>-81655.936684444445</v>
      </c>
      <c r="G50" s="18">
        <f t="shared" ref="G50" si="2">-(G45+G46-15932)*0.2</f>
        <v>-81655.936684444445</v>
      </c>
      <c r="H50" s="18">
        <f>-(H45+H46-15932)*0.2</f>
        <v>-81655.936684444445</v>
      </c>
      <c r="I50" s="18">
        <v>0</v>
      </c>
      <c r="J50" s="19">
        <f>-(552324-15932)*0.2</f>
        <v>-107278.40000000001</v>
      </c>
      <c r="K50" s="19">
        <f>-(552324-15932)*0.2</f>
        <v>-107278.40000000001</v>
      </c>
      <c r="L50" s="19">
        <f>-(552324-15932)*0.2</f>
        <v>-107278.40000000001</v>
      </c>
      <c r="M50" s="19">
        <f>-(552324-15932)*0.2</f>
        <v>-107278.40000000001</v>
      </c>
      <c r="N50" s="15"/>
      <c r="O50" s="19">
        <f>-(O45+O46-15932)*0.2</f>
        <v>-81655.936684444445</v>
      </c>
      <c r="P50" s="19">
        <f>-(P45+P46-15932)*0.2</f>
        <v>-81655.936684444445</v>
      </c>
      <c r="Q50" s="15"/>
      <c r="R50" s="19">
        <f>SUM(C50:P50)</f>
        <v>-915862.82010666665</v>
      </c>
    </row>
    <row r="51" spans="1:19" x14ac:dyDescent="0.35">
      <c r="A51" s="15"/>
      <c r="B51" s="2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f>-(J45+J46-552324)*0.3</f>
        <v>-7578.9733688888718</v>
      </c>
      <c r="K51" s="19">
        <f t="shared" ref="K51:L51" si="3">-(K45+K46-552324)*0.3</f>
        <v>-7578.9733688888718</v>
      </c>
      <c r="L51" s="19">
        <f t="shared" si="3"/>
        <v>-7578.9733688888718</v>
      </c>
      <c r="M51" s="19">
        <f>-(M45+M46-552324)*0.3</f>
        <v>-88829.81005333332</v>
      </c>
      <c r="N51" s="18">
        <v>0</v>
      </c>
      <c r="O51" s="19">
        <v>0</v>
      </c>
      <c r="P51" s="19">
        <v>0</v>
      </c>
      <c r="Q51" s="15"/>
      <c r="R51" s="19">
        <f>SUM(C51:P51)</f>
        <v>-111566.73015999993</v>
      </c>
    </row>
    <row r="52" spans="1:19" x14ac:dyDescent="0.35">
      <c r="A52" s="15" t="s">
        <v>51</v>
      </c>
      <c r="B52" s="21" t="s">
        <v>52</v>
      </c>
      <c r="C52" s="18">
        <v>0</v>
      </c>
      <c r="D52" s="19">
        <f>-$D$74/24</f>
        <v>-1279.4414013749999</v>
      </c>
      <c r="E52" s="19">
        <f>-$D$74/24</f>
        <v>-1279.4414013749999</v>
      </c>
      <c r="F52" s="19">
        <f>-$D$74/12</f>
        <v>-2558.8828027499999</v>
      </c>
      <c r="G52" s="19">
        <f>-$D$74/12</f>
        <v>-2558.8828027499999</v>
      </c>
      <c r="H52" s="19">
        <f>-$D$74/12</f>
        <v>-2558.8828027499999</v>
      </c>
      <c r="I52" s="18">
        <v>0</v>
      </c>
      <c r="J52" s="19">
        <f>-$D$74/9</f>
        <v>-3411.8437370000001</v>
      </c>
      <c r="K52" s="19">
        <f>-$D$74/9</f>
        <v>-3411.8437370000001</v>
      </c>
      <c r="L52" s="19">
        <f>-$D$74/9</f>
        <v>-3411.8437370000001</v>
      </c>
      <c r="M52" s="19">
        <f>-$D$74/6</f>
        <v>-5117.7656054999998</v>
      </c>
      <c r="N52" s="19"/>
      <c r="O52" s="19">
        <f>-$D$74/12</f>
        <v>-2558.8828027499999</v>
      </c>
      <c r="P52" s="19">
        <f>-$D$74/12</f>
        <v>-2558.8828027499999</v>
      </c>
      <c r="Q52" s="15"/>
      <c r="R52" s="19">
        <f>SUM(C52:P52)</f>
        <v>-30706.593632999997</v>
      </c>
    </row>
    <row r="53" spans="1:19" x14ac:dyDescent="0.35">
      <c r="A53" s="15"/>
      <c r="B53" s="21" t="s">
        <v>150</v>
      </c>
      <c r="C53" s="22">
        <v>-300</v>
      </c>
      <c r="D53" s="22">
        <v>-300</v>
      </c>
      <c r="E53" s="22">
        <v>-300</v>
      </c>
      <c r="F53" s="22">
        <v>-300</v>
      </c>
      <c r="G53" s="22">
        <v>-300</v>
      </c>
      <c r="H53" s="22">
        <v>-300</v>
      </c>
      <c r="I53" s="22">
        <v>-300</v>
      </c>
      <c r="J53" s="22">
        <v>-300</v>
      </c>
      <c r="K53" s="22">
        <v>-300</v>
      </c>
      <c r="L53" s="22">
        <v>-300</v>
      </c>
      <c r="M53" s="22">
        <v>-300</v>
      </c>
      <c r="N53" s="22">
        <v>-300</v>
      </c>
      <c r="O53" s="22">
        <v>-300</v>
      </c>
      <c r="P53" s="22">
        <v>-300</v>
      </c>
      <c r="Q53" s="15"/>
      <c r="R53" s="22">
        <f>SUM(C53:P53)</f>
        <v>-4200</v>
      </c>
    </row>
    <row r="54" spans="1:19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9" x14ac:dyDescent="0.35">
      <c r="A55" s="15"/>
      <c r="B55" s="21" t="s">
        <v>54</v>
      </c>
      <c r="C55" s="28">
        <f>SUM(C42:C54)</f>
        <v>51810.83383333333</v>
      </c>
      <c r="D55" s="28">
        <f>D45+D47+D48+D49+D50+D51+D52+D53</f>
        <v>181222.88196751382</v>
      </c>
      <c r="E55" s="28">
        <f t="shared" ref="E55" si="4">E45+E47+E48+E49+E50+E51+E52+E53</f>
        <v>181222.88196751382</v>
      </c>
      <c r="F55" s="28">
        <f>F45+F47+F48+F49+F50+F51+F52+F53+F43+F42+F44</f>
        <v>413050.94776836113</v>
      </c>
      <c r="G55" s="28">
        <f t="shared" ref="G55:P55" si="5">G45+G47+G48+G49+G50+G51+G52+G53+G43+G42+G44</f>
        <v>413050.94776836113</v>
      </c>
      <c r="H55" s="28">
        <f t="shared" si="5"/>
        <v>413050.94776836113</v>
      </c>
      <c r="I55" s="28">
        <f>I45+I47+I48+I49+I50+I51+I52+I53+I43+I42+I44</f>
        <v>240553.86</v>
      </c>
      <c r="J55" s="28">
        <f>J45+J47+J48+J49+J50+J51+J52+J53+J43+J42+J44</f>
        <v>472273.94412374072</v>
      </c>
      <c r="K55" s="28">
        <f t="shared" si="5"/>
        <v>472273.94412374072</v>
      </c>
      <c r="L55" s="28">
        <f t="shared" si="5"/>
        <v>472273.94412374072</v>
      </c>
      <c r="M55" s="28">
        <f t="shared" si="5"/>
        <v>794906.60885227798</v>
      </c>
      <c r="N55" s="28">
        <f t="shared" si="5"/>
        <v>103841.96766666666</v>
      </c>
      <c r="O55" s="28">
        <f>O45+O47+O48+O49+O50+O51+O52+O53+O43+O42+O44</f>
        <v>360940.1139350278</v>
      </c>
      <c r="P55" s="28">
        <f t="shared" si="5"/>
        <v>360940.1139350278</v>
      </c>
      <c r="Q55" s="15"/>
      <c r="R55" s="16">
        <f>SUM(C55:P55)</f>
        <v>4931413.9378336677</v>
      </c>
    </row>
    <row r="56" spans="1:19" x14ac:dyDescent="0.35">
      <c r="A56" s="15"/>
      <c r="B56" s="15"/>
      <c r="C56" s="15"/>
      <c r="D56" s="15"/>
      <c r="E56" s="15"/>
      <c r="F56" s="15"/>
      <c r="G56" s="15"/>
      <c r="H56" s="15"/>
      <c r="I56" s="15" t="s">
        <v>58</v>
      </c>
      <c r="J56" s="15"/>
      <c r="K56" s="15"/>
      <c r="L56" s="15"/>
      <c r="M56" s="15"/>
      <c r="N56" s="15"/>
      <c r="O56" s="15"/>
      <c r="P56" s="15"/>
      <c r="Q56" s="15"/>
      <c r="R56" s="15"/>
    </row>
    <row r="57" spans="1:19" x14ac:dyDescent="0.35">
      <c r="A57" s="15"/>
      <c r="B57" s="21" t="s">
        <v>55</v>
      </c>
      <c r="C57" s="23">
        <f>C55</f>
        <v>51810.83383333333</v>
      </c>
      <c r="D57" s="23">
        <f>D55+1/24*($C$62-$D$34)</f>
        <v>233959.38196751382</v>
      </c>
      <c r="E57" s="23">
        <f>E55+1/24*($C$62-$D$34)</f>
        <v>233959.38196751382</v>
      </c>
      <c r="F57" s="23">
        <f>F55+1/12*($C$62-$D$34)</f>
        <v>518523.94776836113</v>
      </c>
      <c r="G57" s="23">
        <f>G55+1/12*($C$62-$D$34)</f>
        <v>518523.94776836113</v>
      </c>
      <c r="H57" s="23">
        <f>H55+1/12*($C$62-$D$34)</f>
        <v>518523.94776836113</v>
      </c>
      <c r="I57" s="23">
        <f>I55-32000</f>
        <v>208553.86</v>
      </c>
      <c r="J57" s="23">
        <f>J55+1/9*($C$62-$D$34)</f>
        <v>612904.6107904074</v>
      </c>
      <c r="K57" s="23">
        <f>K55+1/9*($C$62-$D$34)</f>
        <v>612904.6107904074</v>
      </c>
      <c r="L57" s="23">
        <f>L55+1/9*($C$62-$D$34)</f>
        <v>612904.6107904074</v>
      </c>
      <c r="M57" s="23">
        <f>M55+1/6*($C$62-$D$34)</f>
        <v>1005852.608852278</v>
      </c>
      <c r="N57" s="23">
        <f>N55</f>
        <v>103841.96766666666</v>
      </c>
      <c r="O57" s="23">
        <f>O55+1/12*($C$62-$D$34)</f>
        <v>466413.1139350278</v>
      </c>
      <c r="P57" s="23">
        <f>P55+1/12*($C$62-$D$34)</f>
        <v>466413.1139350278</v>
      </c>
      <c r="Q57" s="15"/>
      <c r="R57" s="16">
        <f>SUM(C57:Q57)</f>
        <v>6165089.9378336668</v>
      </c>
    </row>
    <row r="58" spans="1:19" x14ac:dyDescent="0.35">
      <c r="A58" s="15"/>
      <c r="B58" s="15" t="s">
        <v>162</v>
      </c>
      <c r="C58" s="29">
        <v>0</v>
      </c>
      <c r="D58" s="19">
        <f>-1/24*$S$58</f>
        <v>-4137.6181368642283</v>
      </c>
      <c r="E58" s="19">
        <f>-1/24*$S$58</f>
        <v>-4137.6181368642283</v>
      </c>
      <c r="F58" s="19">
        <f>-1/12*$S$58</f>
        <v>-8275.2362737284566</v>
      </c>
      <c r="G58" s="19">
        <f>-1/12*$S$58</f>
        <v>-8275.2362737284566</v>
      </c>
      <c r="H58" s="19">
        <f>-1/12*$S$58</f>
        <v>-8275.2362737284566</v>
      </c>
      <c r="I58" s="19"/>
      <c r="J58" s="19">
        <f>-1/9*$S$58</f>
        <v>-11033.648364971275</v>
      </c>
      <c r="K58" s="19">
        <f>-1/9*$S$58</f>
        <v>-11033.648364971275</v>
      </c>
      <c r="L58" s="19">
        <f>-1/9*$S$58</f>
        <v>-11033.648364971275</v>
      </c>
      <c r="M58" s="19">
        <f>-1/6*$S$58</f>
        <v>-16550.472547456913</v>
      </c>
      <c r="N58" s="19"/>
      <c r="O58" s="19">
        <f>-1/12*$S$58</f>
        <v>-8275.2362737284566</v>
      </c>
      <c r="P58" s="19">
        <f>-1/12*$S$58</f>
        <v>-8275.2362737284566</v>
      </c>
      <c r="Q58" s="15"/>
      <c r="R58" s="17">
        <f>SUM(C58:Q58)</f>
        <v>-99302.835284741479</v>
      </c>
      <c r="S58" s="4">
        <f>A59*0.376</f>
        <v>99302.835284741479</v>
      </c>
    </row>
    <row r="59" spans="1:19" x14ac:dyDescent="0.35">
      <c r="A59" s="16">
        <f>(B63-LINGOTS!F65)*LINGOTS!E65</f>
        <v>264103.28533175925</v>
      </c>
      <c r="B59" s="15" t="s">
        <v>152</v>
      </c>
      <c r="C59" s="23">
        <f>C57+C58</f>
        <v>51810.83383333333</v>
      </c>
      <c r="D59" s="23">
        <f t="shared" ref="D59:P59" si="6">D57+D58</f>
        <v>229821.76383064961</v>
      </c>
      <c r="E59" s="23">
        <f t="shared" si="6"/>
        <v>229821.76383064961</v>
      </c>
      <c r="F59" s="23">
        <f t="shared" si="6"/>
        <v>510248.71149463265</v>
      </c>
      <c r="G59" s="23">
        <f t="shared" si="6"/>
        <v>510248.71149463265</v>
      </c>
      <c r="H59" s="23">
        <f t="shared" si="6"/>
        <v>510248.71149463265</v>
      </c>
      <c r="I59" s="23">
        <f t="shared" si="6"/>
        <v>208553.86</v>
      </c>
      <c r="J59" s="23">
        <f t="shared" si="6"/>
        <v>601870.96242543613</v>
      </c>
      <c r="K59" s="23">
        <f t="shared" si="6"/>
        <v>601870.96242543613</v>
      </c>
      <c r="L59" s="23">
        <f t="shared" si="6"/>
        <v>601870.96242543613</v>
      </c>
      <c r="M59" s="23">
        <f t="shared" si="6"/>
        <v>989302.13630482112</v>
      </c>
      <c r="N59" s="23">
        <f t="shared" si="6"/>
        <v>103841.96766666666</v>
      </c>
      <c r="O59" s="23">
        <f t="shared" si="6"/>
        <v>458137.87766129931</v>
      </c>
      <c r="P59" s="23">
        <f t="shared" si="6"/>
        <v>458137.87766129931</v>
      </c>
      <c r="Q59" s="15"/>
      <c r="R59" s="16">
        <f>R57+R58</f>
        <v>6065787.1025489252</v>
      </c>
    </row>
    <row r="62" spans="1:19" x14ac:dyDescent="0.35">
      <c r="A62" s="15"/>
      <c r="B62" s="15" t="s">
        <v>56</v>
      </c>
      <c r="C62" s="16">
        <f>D34+50*(B63-F18)</f>
        <v>6649033.2010666663</v>
      </c>
    </row>
    <row r="63" spans="1:19" x14ac:dyDescent="0.35">
      <c r="A63" s="15" t="s">
        <v>57</v>
      </c>
      <c r="B63" s="38">
        <v>135000</v>
      </c>
      <c r="C63" s="15"/>
      <c r="I63" t="s">
        <v>59</v>
      </c>
      <c r="J63" s="4">
        <f>552324-(J45+J46)</f>
        <v>-25263.244562962907</v>
      </c>
      <c r="K63" s="4">
        <f>552324-(K45+K46)</f>
        <v>-25263.244562962907</v>
      </c>
      <c r="L63" s="4">
        <f>552324-(L45+L46)</f>
        <v>-25263.244562962907</v>
      </c>
      <c r="M63" s="1">
        <v>0</v>
      </c>
    </row>
    <row r="64" spans="1:19" x14ac:dyDescent="0.35">
      <c r="I64" t="s">
        <v>60</v>
      </c>
      <c r="J64" s="1">
        <f>902838-552324</f>
        <v>350514</v>
      </c>
      <c r="K64" s="1">
        <f t="shared" ref="K64:L64" si="7">902838-552324</f>
        <v>350514</v>
      </c>
      <c r="L64" s="1">
        <f t="shared" si="7"/>
        <v>350514</v>
      </c>
      <c r="M64" s="4">
        <f>902838-(M45+M46)</f>
        <v>54414.633155555581</v>
      </c>
    </row>
    <row r="65" spans="2:4" x14ac:dyDescent="0.35">
      <c r="B65" s="15" t="s">
        <v>164</v>
      </c>
      <c r="C65" s="15"/>
      <c r="D65" s="15"/>
    </row>
    <row r="66" spans="2:4" x14ac:dyDescent="0.35">
      <c r="B66" s="35"/>
      <c r="C66" s="41" t="s">
        <v>62</v>
      </c>
      <c r="D66" s="15"/>
    </row>
    <row r="67" spans="2:4" ht="15.5" x14ac:dyDescent="0.35">
      <c r="B67" s="37" t="s">
        <v>61</v>
      </c>
      <c r="C67" s="41"/>
      <c r="D67" s="17">
        <f>6500*0.01548</f>
        <v>100.62</v>
      </c>
    </row>
    <row r="68" spans="2:4" ht="15.5" x14ac:dyDescent="0.35">
      <c r="B68" s="37" t="s">
        <v>63</v>
      </c>
      <c r="C68" s="36" t="s">
        <v>64</v>
      </c>
      <c r="D68" s="17">
        <f>10500*0.00851</f>
        <v>89.355000000000004</v>
      </c>
    </row>
    <row r="69" spans="2:4" ht="15.5" x14ac:dyDescent="0.35">
      <c r="B69" s="37" t="s">
        <v>65</v>
      </c>
      <c r="C69" s="36" t="s">
        <v>66</v>
      </c>
      <c r="D69" s="17">
        <f>13000*0.0058</f>
        <v>75.399999999999991</v>
      </c>
    </row>
    <row r="70" spans="2:4" ht="15.5" x14ac:dyDescent="0.35">
      <c r="B70" s="37" t="s">
        <v>67</v>
      </c>
      <c r="C70" s="36" t="s">
        <v>68</v>
      </c>
      <c r="D70" s="16">
        <f>(D20+74259-30000)*0.00426</f>
        <v>25323.4530275</v>
      </c>
    </row>
    <row r="71" spans="2:4" x14ac:dyDescent="0.35">
      <c r="B71" s="15"/>
      <c r="C71" s="15"/>
      <c r="D71" s="15"/>
    </row>
    <row r="72" spans="2:4" ht="15.5" x14ac:dyDescent="0.35">
      <c r="B72" s="15"/>
      <c r="C72" s="36" t="s">
        <v>69</v>
      </c>
      <c r="D72" s="17">
        <f>SUM(D67:D71)</f>
        <v>25588.8280275</v>
      </c>
    </row>
    <row r="73" spans="2:4" ht="15.5" x14ac:dyDescent="0.35">
      <c r="B73" s="15"/>
      <c r="C73" s="36" t="s">
        <v>70</v>
      </c>
      <c r="D73" s="16">
        <f>0.2*D72</f>
        <v>5117.7656055000007</v>
      </c>
    </row>
    <row r="74" spans="2:4" ht="15.5" x14ac:dyDescent="0.35">
      <c r="B74" s="15"/>
      <c r="C74" s="36" t="s">
        <v>71</v>
      </c>
      <c r="D74" s="16">
        <f>D72+D73</f>
        <v>30706.593633</v>
      </c>
    </row>
  </sheetData>
  <mergeCells count="4">
    <mergeCell ref="C66:C67"/>
    <mergeCell ref="C40:H40"/>
    <mergeCell ref="I40:L40"/>
    <mergeCell ref="M40:P40"/>
  </mergeCells>
  <hyperlinks>
    <hyperlink ref="F3" r:id="rId1" xr:uid="{29629937-FF60-4936-B580-ECD4A9B83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D7F0-1F7C-470B-84DD-02D109A84104}">
  <dimension ref="A1:F13"/>
  <sheetViews>
    <sheetView workbookViewId="0">
      <selection activeCell="E6" sqref="E6:E13"/>
    </sheetView>
  </sheetViews>
  <sheetFormatPr baseColWidth="10" defaultRowHeight="14.5" x14ac:dyDescent="0.35"/>
  <cols>
    <col min="3" max="3" width="15.54296875" bestFit="1" customWidth="1"/>
    <col min="5" max="5" width="14.81640625" bestFit="1" customWidth="1"/>
    <col min="6" max="6" width="12.81640625" bestFit="1" customWidth="1"/>
  </cols>
  <sheetData>
    <row r="1" spans="1:6" x14ac:dyDescent="0.35">
      <c r="A1" t="s">
        <v>9</v>
      </c>
    </row>
    <row r="3" spans="1:6" x14ac:dyDescent="0.35">
      <c r="A3" t="s">
        <v>168</v>
      </c>
      <c r="B3" s="39">
        <v>0.17199999999999999</v>
      </c>
    </row>
    <row r="5" spans="1:6" x14ac:dyDescent="0.35">
      <c r="C5" t="s">
        <v>165</v>
      </c>
      <c r="D5" t="s">
        <v>166</v>
      </c>
      <c r="E5" t="s">
        <v>167</v>
      </c>
      <c r="F5" s="1">
        <v>300000</v>
      </c>
    </row>
    <row r="6" spans="1:6" x14ac:dyDescent="0.35">
      <c r="B6">
        <v>2017</v>
      </c>
      <c r="C6" s="2">
        <v>1.4E-2</v>
      </c>
      <c r="D6" s="3">
        <f>C6*0.155</f>
        <v>2.1700000000000001E-3</v>
      </c>
      <c r="E6" s="3">
        <f>C6-D6</f>
        <v>1.183E-2</v>
      </c>
      <c r="F6" s="4">
        <f>F5*(1+E6)</f>
        <v>303549</v>
      </c>
    </row>
    <row r="7" spans="1:6" x14ac:dyDescent="0.35">
      <c r="B7">
        <v>2018</v>
      </c>
      <c r="C7" s="2">
        <v>1.4999999999999999E-2</v>
      </c>
      <c r="D7" s="3">
        <f>$B$3*C7</f>
        <v>2.5799999999999998E-3</v>
      </c>
      <c r="E7" s="3">
        <f t="shared" ref="E7:E9" si="0">C7-D7</f>
        <v>1.242E-2</v>
      </c>
      <c r="F7" s="4">
        <f t="shared" ref="F7:F9" si="1">F6*(1+E7)</f>
        <v>307319.07858000003</v>
      </c>
    </row>
    <row r="8" spans="1:6" x14ac:dyDescent="0.35">
      <c r="B8">
        <v>2019</v>
      </c>
      <c r="C8" s="2">
        <v>1.35E-2</v>
      </c>
      <c r="D8" s="3">
        <f t="shared" ref="D8:D9" si="2">$B$3*C8</f>
        <v>2.3219999999999998E-3</v>
      </c>
      <c r="E8" s="3">
        <f t="shared" si="0"/>
        <v>1.1178E-2</v>
      </c>
      <c r="F8" s="4">
        <f t="shared" si="1"/>
        <v>310754.29124036722</v>
      </c>
    </row>
    <row r="9" spans="1:6" x14ac:dyDescent="0.35">
      <c r="B9">
        <v>2020</v>
      </c>
      <c r="C9" s="2">
        <v>1.15E-2</v>
      </c>
      <c r="D9" s="3">
        <f t="shared" si="2"/>
        <v>1.9779999999999997E-3</v>
      </c>
      <c r="E9" s="3">
        <f t="shared" si="0"/>
        <v>9.5219999999999992E-3</v>
      </c>
      <c r="F9" s="4">
        <f t="shared" si="1"/>
        <v>313713.29360155802</v>
      </c>
    </row>
    <row r="10" spans="1:6" x14ac:dyDescent="0.35">
      <c r="B10">
        <v>2021</v>
      </c>
      <c r="C10" s="2">
        <v>1.0999999999999999E-2</v>
      </c>
      <c r="D10" s="3">
        <f>$B$3*C10</f>
        <v>1.8919999999999998E-3</v>
      </c>
      <c r="E10" s="2">
        <f>C10-D10</f>
        <v>9.1079999999999998E-3</v>
      </c>
      <c r="F10" s="4">
        <f>F9*(1+E10)</f>
        <v>316570.59427968098</v>
      </c>
    </row>
    <row r="11" spans="1:6" x14ac:dyDescent="0.35">
      <c r="B11">
        <v>2022</v>
      </c>
      <c r="C11" s="2">
        <v>1.7999999999999999E-2</v>
      </c>
      <c r="D11" s="3">
        <f>$B$3*C11</f>
        <v>3.0959999999999994E-3</v>
      </c>
      <c r="E11" s="2">
        <f t="shared" ref="E11:E13" si="3">C11-D11</f>
        <v>1.4903999999999999E-2</v>
      </c>
      <c r="F11" s="4">
        <f t="shared" ref="F11:F13" si="4">F10*(1+E11)</f>
        <v>321288.76241682534</v>
      </c>
    </row>
    <row r="12" spans="1:6" x14ac:dyDescent="0.35">
      <c r="B12">
        <v>2023</v>
      </c>
      <c r="C12" s="2">
        <v>2.5000000000000001E-2</v>
      </c>
      <c r="D12" s="3">
        <f>$B$3*C12</f>
        <v>4.3E-3</v>
      </c>
      <c r="E12" s="2">
        <f t="shared" si="3"/>
        <v>2.0700000000000003E-2</v>
      </c>
      <c r="F12" s="4">
        <f t="shared" si="4"/>
        <v>327939.43979885359</v>
      </c>
    </row>
    <row r="13" spans="1:6" x14ac:dyDescent="0.35">
      <c r="B13">
        <v>2024</v>
      </c>
      <c r="C13" s="2">
        <v>2.5000000000000001E-2</v>
      </c>
      <c r="D13" s="3">
        <f>$B$3*C13</f>
        <v>4.3E-3</v>
      </c>
      <c r="E13" s="2">
        <f t="shared" si="3"/>
        <v>2.0700000000000003E-2</v>
      </c>
      <c r="F13" s="4">
        <f t="shared" si="4"/>
        <v>334727.78620268987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E93-D393-4A71-AB8C-EED0EC527A6E}">
  <dimension ref="A1:I65"/>
  <sheetViews>
    <sheetView zoomScale="101" workbookViewId="0">
      <selection activeCell="I54" sqref="I54"/>
    </sheetView>
  </sheetViews>
  <sheetFormatPr baseColWidth="10" defaultRowHeight="14.5" x14ac:dyDescent="0.35"/>
  <cols>
    <col min="1" max="1" width="39.1796875" bestFit="1" customWidth="1"/>
    <col min="2" max="2" width="10.7265625" bestFit="1" customWidth="1"/>
    <col min="3" max="3" width="13.54296875" bestFit="1" customWidth="1"/>
    <col min="4" max="4" width="20.26953125" bestFit="1" customWidth="1"/>
    <col min="5" max="5" width="16" bestFit="1" customWidth="1"/>
    <col min="6" max="6" width="13.26953125" bestFit="1" customWidth="1"/>
    <col min="7" max="7" width="21.54296875" bestFit="1" customWidth="1"/>
  </cols>
  <sheetData>
    <row r="1" spans="1:9" x14ac:dyDescent="0.35">
      <c r="A1" s="24" t="s">
        <v>76</v>
      </c>
      <c r="B1" s="24" t="s">
        <v>77</v>
      </c>
      <c r="C1" s="24" t="s">
        <v>78</v>
      </c>
      <c r="D1" s="24" t="s">
        <v>83</v>
      </c>
      <c r="E1" s="24" t="s">
        <v>79</v>
      </c>
      <c r="F1" s="24" t="s">
        <v>80</v>
      </c>
      <c r="G1" s="24" t="s">
        <v>81</v>
      </c>
    </row>
    <row r="2" spans="1:9" x14ac:dyDescent="0.35">
      <c r="A2" s="15" t="s">
        <v>91</v>
      </c>
      <c r="B2" s="25">
        <v>18923</v>
      </c>
      <c r="C2" s="15">
        <v>162591</v>
      </c>
      <c r="D2" s="15" t="s">
        <v>116</v>
      </c>
      <c r="E2" s="15">
        <v>1000.5</v>
      </c>
      <c r="F2" s="15">
        <v>996.1</v>
      </c>
      <c r="G2" s="15">
        <v>996.5</v>
      </c>
      <c r="I2">
        <f>E2*F2/1000</f>
        <v>996.59805000000006</v>
      </c>
    </row>
    <row r="3" spans="1:9" x14ac:dyDescent="0.35">
      <c r="A3" s="15" t="s">
        <v>91</v>
      </c>
      <c r="B3" s="25">
        <v>18966</v>
      </c>
      <c r="C3" s="15">
        <v>158969</v>
      </c>
      <c r="D3" s="15" t="s">
        <v>92</v>
      </c>
      <c r="E3" s="15">
        <v>1000.4</v>
      </c>
      <c r="F3" s="15">
        <v>995.7</v>
      </c>
      <c r="G3" s="26">
        <v>996</v>
      </c>
      <c r="I3">
        <f t="shared" ref="I3:I51" si="0">E3*F3/1000</f>
        <v>996.09828000000005</v>
      </c>
    </row>
    <row r="4" spans="1:9" x14ac:dyDescent="0.35">
      <c r="A4" s="15" t="s">
        <v>88</v>
      </c>
      <c r="B4" s="25">
        <v>19177</v>
      </c>
      <c r="C4" s="15">
        <v>75609</v>
      </c>
      <c r="D4" s="15" t="s">
        <v>89</v>
      </c>
      <c r="E4" s="15">
        <v>1003.9</v>
      </c>
      <c r="F4" s="15">
        <v>999.3</v>
      </c>
      <c r="G4" s="15">
        <v>1003</v>
      </c>
      <c r="I4">
        <f t="shared" si="0"/>
        <v>1003.1972699999999</v>
      </c>
    </row>
    <row r="5" spans="1:9" x14ac:dyDescent="0.35">
      <c r="A5" s="15" t="s">
        <v>88</v>
      </c>
      <c r="B5" s="25">
        <v>19329</v>
      </c>
      <c r="C5" s="15">
        <v>6454995879</v>
      </c>
      <c r="D5" s="15" t="s">
        <v>127</v>
      </c>
      <c r="E5" s="15">
        <v>998.8</v>
      </c>
      <c r="F5" s="15">
        <v>998.1</v>
      </c>
      <c r="G5" s="15">
        <v>996.9</v>
      </c>
      <c r="I5">
        <f t="shared" si="0"/>
        <v>996.90228000000002</v>
      </c>
    </row>
    <row r="6" spans="1:9" x14ac:dyDescent="0.35">
      <c r="A6" s="15" t="s">
        <v>82</v>
      </c>
      <c r="B6" s="25">
        <v>19401</v>
      </c>
      <c r="C6" s="15" t="s">
        <v>98</v>
      </c>
      <c r="D6" s="15" t="s">
        <v>99</v>
      </c>
      <c r="E6" s="15">
        <v>1004.6</v>
      </c>
      <c r="F6" s="15">
        <v>995.9</v>
      </c>
      <c r="G6" s="15">
        <v>1000.4</v>
      </c>
      <c r="I6">
        <f t="shared" si="0"/>
        <v>1000.48114</v>
      </c>
    </row>
    <row r="7" spans="1:9" x14ac:dyDescent="0.35">
      <c r="A7" s="15" t="s">
        <v>82</v>
      </c>
      <c r="B7" s="25">
        <v>19403</v>
      </c>
      <c r="C7" s="15" t="s">
        <v>143</v>
      </c>
      <c r="D7" s="15" t="s">
        <v>144</v>
      </c>
      <c r="E7" s="15">
        <v>1006.3</v>
      </c>
      <c r="F7" s="15">
        <v>996.1</v>
      </c>
      <c r="G7" s="15">
        <v>1002.3</v>
      </c>
      <c r="I7">
        <f t="shared" si="0"/>
        <v>1002.3754299999999</v>
      </c>
    </row>
    <row r="8" spans="1:9" x14ac:dyDescent="0.35">
      <c r="A8" s="15" t="s">
        <v>141</v>
      </c>
      <c r="B8" s="25">
        <v>21527</v>
      </c>
      <c r="C8" s="15" t="s">
        <v>142</v>
      </c>
      <c r="D8" s="15" t="s">
        <v>133</v>
      </c>
      <c r="E8" s="15">
        <v>998.9</v>
      </c>
      <c r="F8" s="15">
        <v>999.9</v>
      </c>
      <c r="G8" s="15">
        <v>998.8</v>
      </c>
      <c r="I8">
        <f t="shared" si="0"/>
        <v>998.80011000000002</v>
      </c>
    </row>
    <row r="9" spans="1:9" x14ac:dyDescent="0.35">
      <c r="A9" s="15" t="s">
        <v>82</v>
      </c>
      <c r="B9" s="25">
        <v>22523</v>
      </c>
      <c r="C9" s="15">
        <v>381139</v>
      </c>
      <c r="D9" s="15" t="s">
        <v>112</v>
      </c>
      <c r="E9" s="15">
        <v>1004.9</v>
      </c>
      <c r="F9" s="15">
        <v>996</v>
      </c>
      <c r="G9" s="15">
        <v>1000.8</v>
      </c>
      <c r="I9">
        <f t="shared" si="0"/>
        <v>1000.8804</v>
      </c>
    </row>
    <row r="10" spans="1:9" x14ac:dyDescent="0.35">
      <c r="A10" s="15" t="s">
        <v>88</v>
      </c>
      <c r="B10" s="25">
        <v>22594</v>
      </c>
      <c r="C10" s="15" t="s">
        <v>110</v>
      </c>
      <c r="D10" s="15" t="s">
        <v>109</v>
      </c>
      <c r="E10" s="15">
        <v>1004.5</v>
      </c>
      <c r="F10" s="15">
        <v>995.6</v>
      </c>
      <c r="G10" s="15">
        <v>1000</v>
      </c>
      <c r="I10">
        <f t="shared" si="0"/>
        <v>1000.0802000000001</v>
      </c>
    </row>
    <row r="11" spans="1:9" x14ac:dyDescent="0.35">
      <c r="A11" s="15" t="s">
        <v>82</v>
      </c>
      <c r="B11" s="25">
        <v>22803</v>
      </c>
      <c r="C11" s="15">
        <v>421173</v>
      </c>
      <c r="D11" s="15" t="s">
        <v>108</v>
      </c>
      <c r="E11" s="15">
        <v>999.5</v>
      </c>
      <c r="F11" s="15">
        <v>996.2</v>
      </c>
      <c r="G11" s="15">
        <v>995.7</v>
      </c>
      <c r="I11">
        <f t="shared" si="0"/>
        <v>995.70190000000002</v>
      </c>
    </row>
    <row r="12" spans="1:9" x14ac:dyDescent="0.35">
      <c r="A12" s="15" t="s">
        <v>82</v>
      </c>
      <c r="B12" s="25">
        <v>22902</v>
      </c>
      <c r="C12" s="15">
        <v>436676</v>
      </c>
      <c r="D12" s="15" t="s">
        <v>128</v>
      </c>
      <c r="E12" s="15">
        <v>1000</v>
      </c>
      <c r="F12" s="15">
        <v>996.7</v>
      </c>
      <c r="G12" s="15">
        <v>996.7</v>
      </c>
      <c r="I12">
        <f t="shared" si="0"/>
        <v>996.7</v>
      </c>
    </row>
    <row r="13" spans="1:9" x14ac:dyDescent="0.35">
      <c r="A13" s="15" t="s">
        <v>88</v>
      </c>
      <c r="B13" s="25">
        <v>22973</v>
      </c>
      <c r="C13" s="15">
        <v>36499</v>
      </c>
      <c r="D13" s="15" t="s">
        <v>129</v>
      </c>
      <c r="E13" s="15">
        <v>999.5</v>
      </c>
      <c r="F13" s="15">
        <v>999.9</v>
      </c>
      <c r="G13" s="15">
        <v>999.4</v>
      </c>
      <c r="I13">
        <f t="shared" si="0"/>
        <v>999.40004999999996</v>
      </c>
    </row>
    <row r="14" spans="1:9" x14ac:dyDescent="0.35">
      <c r="A14" s="15" t="s">
        <v>82</v>
      </c>
      <c r="B14" s="25">
        <v>23810</v>
      </c>
      <c r="C14" s="15">
        <v>541650</v>
      </c>
      <c r="D14" s="15" t="s">
        <v>137</v>
      </c>
      <c r="E14" s="15">
        <v>1000.1</v>
      </c>
      <c r="F14" s="15">
        <v>995.5</v>
      </c>
      <c r="G14" s="15">
        <v>995.5</v>
      </c>
      <c r="I14">
        <f t="shared" si="0"/>
        <v>995.59955000000002</v>
      </c>
    </row>
    <row r="15" spans="1:9" x14ac:dyDescent="0.35">
      <c r="A15" s="15" t="s">
        <v>82</v>
      </c>
      <c r="B15" s="25">
        <v>23813</v>
      </c>
      <c r="C15" s="15">
        <v>544786</v>
      </c>
      <c r="D15" s="15" t="s">
        <v>139</v>
      </c>
      <c r="E15" s="15">
        <v>999.9</v>
      </c>
      <c r="F15" s="15">
        <v>995.9</v>
      </c>
      <c r="G15" s="15">
        <v>995.8</v>
      </c>
      <c r="I15">
        <f t="shared" si="0"/>
        <v>995.80040999999994</v>
      </c>
    </row>
    <row r="16" spans="1:9" x14ac:dyDescent="0.35">
      <c r="A16" s="15" t="s">
        <v>82</v>
      </c>
      <c r="B16" s="25">
        <v>23817</v>
      </c>
      <c r="C16" s="15">
        <v>546804</v>
      </c>
      <c r="D16" s="15" t="s">
        <v>95</v>
      </c>
      <c r="E16" s="15">
        <v>1000.1</v>
      </c>
      <c r="F16" s="15">
        <v>996.1</v>
      </c>
      <c r="G16" s="15">
        <v>996.1</v>
      </c>
      <c r="I16">
        <f t="shared" si="0"/>
        <v>996.19961000000012</v>
      </c>
    </row>
    <row r="17" spans="1:9" x14ac:dyDescent="0.35">
      <c r="A17" s="15" t="s">
        <v>82</v>
      </c>
      <c r="B17" s="25">
        <v>23817</v>
      </c>
      <c r="C17" s="15">
        <v>546803</v>
      </c>
      <c r="D17" s="15" t="s">
        <v>131</v>
      </c>
      <c r="E17" s="15">
        <v>999.4</v>
      </c>
      <c r="F17" s="15">
        <v>996.1</v>
      </c>
      <c r="G17" s="15">
        <v>995.5</v>
      </c>
      <c r="I17">
        <f t="shared" si="0"/>
        <v>995.50234</v>
      </c>
    </row>
    <row r="18" spans="1:9" x14ac:dyDescent="0.35">
      <c r="A18" s="15" t="s">
        <v>82</v>
      </c>
      <c r="B18" s="25">
        <v>23817</v>
      </c>
      <c r="C18" s="15">
        <v>546798</v>
      </c>
      <c r="D18" s="15" t="s">
        <v>132</v>
      </c>
      <c r="E18" s="15">
        <v>999.9</v>
      </c>
      <c r="F18" s="15">
        <v>996.1</v>
      </c>
      <c r="G18" s="15">
        <v>996</v>
      </c>
      <c r="I18">
        <f t="shared" si="0"/>
        <v>996.00039000000004</v>
      </c>
    </row>
    <row r="19" spans="1:9" x14ac:dyDescent="0.35">
      <c r="A19" s="15" t="s">
        <v>96</v>
      </c>
      <c r="B19" s="25">
        <v>23967</v>
      </c>
      <c r="C19" s="15">
        <v>400375</v>
      </c>
      <c r="D19" s="15" t="s">
        <v>114</v>
      </c>
      <c r="E19" s="27">
        <v>1000</v>
      </c>
      <c r="F19" s="26">
        <v>996</v>
      </c>
      <c r="G19" s="26">
        <v>996</v>
      </c>
      <c r="I19">
        <f t="shared" si="0"/>
        <v>996</v>
      </c>
    </row>
    <row r="20" spans="1:9" x14ac:dyDescent="0.35">
      <c r="A20" s="15" t="s">
        <v>82</v>
      </c>
      <c r="B20" s="25">
        <v>23972</v>
      </c>
      <c r="C20" s="15">
        <v>585972</v>
      </c>
      <c r="D20" s="15" t="s">
        <v>123</v>
      </c>
      <c r="E20" s="15">
        <v>1000.1</v>
      </c>
      <c r="F20" s="15">
        <v>996.9</v>
      </c>
      <c r="G20" s="15">
        <v>996.9</v>
      </c>
      <c r="I20">
        <f t="shared" si="0"/>
        <v>996.99968999999999</v>
      </c>
    </row>
    <row r="21" spans="1:9" x14ac:dyDescent="0.35">
      <c r="A21" s="15" t="s">
        <v>82</v>
      </c>
      <c r="B21" s="25">
        <v>24079</v>
      </c>
      <c r="C21" s="15">
        <v>611102</v>
      </c>
      <c r="D21" s="15" t="s">
        <v>84</v>
      </c>
      <c r="E21" s="15">
        <v>998.7</v>
      </c>
      <c r="F21" s="15">
        <v>996.8</v>
      </c>
      <c r="G21" s="15">
        <v>995.5</v>
      </c>
      <c r="I21">
        <f t="shared" si="0"/>
        <v>995.50416000000007</v>
      </c>
    </row>
    <row r="22" spans="1:9" x14ac:dyDescent="0.35">
      <c r="A22" s="15" t="s">
        <v>96</v>
      </c>
      <c r="B22" s="25">
        <v>24139</v>
      </c>
      <c r="C22" s="15">
        <v>431912</v>
      </c>
      <c r="D22" s="15" t="s">
        <v>100</v>
      </c>
      <c r="E22" s="15">
        <v>1000</v>
      </c>
      <c r="F22" s="15">
        <v>995.3</v>
      </c>
      <c r="G22" s="15">
        <v>995.3</v>
      </c>
      <c r="I22">
        <f t="shared" si="0"/>
        <v>995.3</v>
      </c>
    </row>
    <row r="23" spans="1:9" x14ac:dyDescent="0.35">
      <c r="A23" s="15" t="s">
        <v>96</v>
      </c>
      <c r="B23" s="25">
        <v>24146</v>
      </c>
      <c r="C23" s="15">
        <v>433021</v>
      </c>
      <c r="D23" s="15" t="s">
        <v>103</v>
      </c>
      <c r="E23" s="15">
        <v>999.8</v>
      </c>
      <c r="F23" s="15">
        <v>996.1</v>
      </c>
      <c r="G23" s="15">
        <v>995.9</v>
      </c>
      <c r="I23">
        <f t="shared" si="0"/>
        <v>995.90078000000005</v>
      </c>
    </row>
    <row r="24" spans="1:9" x14ac:dyDescent="0.35">
      <c r="A24" s="15" t="s">
        <v>82</v>
      </c>
      <c r="B24" s="25">
        <v>24167</v>
      </c>
      <c r="C24" s="15">
        <v>624647</v>
      </c>
      <c r="D24" s="15" t="s">
        <v>104</v>
      </c>
      <c r="E24" s="15">
        <v>1000</v>
      </c>
      <c r="F24" s="15">
        <v>996.2</v>
      </c>
      <c r="G24" s="15">
        <v>996.2</v>
      </c>
      <c r="I24">
        <f t="shared" si="0"/>
        <v>996.2</v>
      </c>
    </row>
    <row r="25" spans="1:9" x14ac:dyDescent="0.35">
      <c r="A25" s="15" t="s">
        <v>96</v>
      </c>
      <c r="B25" s="25">
        <v>24462</v>
      </c>
      <c r="C25" s="15">
        <v>489317</v>
      </c>
      <c r="D25" s="15" t="s">
        <v>105</v>
      </c>
      <c r="E25" s="15">
        <v>999.9</v>
      </c>
      <c r="F25" s="15">
        <v>995.8</v>
      </c>
      <c r="G25" s="15">
        <v>995.7</v>
      </c>
      <c r="I25">
        <f t="shared" si="0"/>
        <v>995.70041999999989</v>
      </c>
    </row>
    <row r="26" spans="1:9" x14ac:dyDescent="0.35">
      <c r="A26" s="15" t="s">
        <v>82</v>
      </c>
      <c r="B26" s="25">
        <v>24491</v>
      </c>
      <c r="C26" s="15">
        <v>690108</v>
      </c>
      <c r="D26" s="15" t="s">
        <v>101</v>
      </c>
      <c r="E26" s="15">
        <v>1000</v>
      </c>
      <c r="F26" s="15">
        <v>996.5</v>
      </c>
      <c r="G26" s="15">
        <v>996.5</v>
      </c>
      <c r="I26">
        <f t="shared" si="0"/>
        <v>996.5</v>
      </c>
    </row>
    <row r="27" spans="1:9" x14ac:dyDescent="0.35">
      <c r="A27" s="15" t="s">
        <v>82</v>
      </c>
      <c r="B27" s="25">
        <v>24497</v>
      </c>
      <c r="C27" s="15">
        <v>693115</v>
      </c>
      <c r="D27" s="15" t="s">
        <v>115</v>
      </c>
      <c r="E27" s="15">
        <v>1000.2</v>
      </c>
      <c r="F27" s="15">
        <v>996.2</v>
      </c>
      <c r="G27" s="15">
        <v>996.3</v>
      </c>
      <c r="I27">
        <f t="shared" si="0"/>
        <v>996.39924000000008</v>
      </c>
    </row>
    <row r="28" spans="1:9" x14ac:dyDescent="0.35">
      <c r="A28" s="15" t="s">
        <v>82</v>
      </c>
      <c r="B28" s="25">
        <v>24503</v>
      </c>
      <c r="C28" s="15">
        <v>696295</v>
      </c>
      <c r="D28" s="15" t="s">
        <v>85</v>
      </c>
      <c r="E28" s="15">
        <v>1000.1</v>
      </c>
      <c r="F28" s="15">
        <v>999.8</v>
      </c>
      <c r="G28" s="15">
        <v>999.8</v>
      </c>
      <c r="I28">
        <f t="shared" si="0"/>
        <v>999.89998000000003</v>
      </c>
    </row>
    <row r="29" spans="1:9" x14ac:dyDescent="0.35">
      <c r="A29" s="15" t="s">
        <v>140</v>
      </c>
      <c r="B29" s="25">
        <v>24629</v>
      </c>
      <c r="C29" s="15">
        <v>111536</v>
      </c>
      <c r="D29" s="15" t="s">
        <v>124</v>
      </c>
      <c r="E29" s="15">
        <v>1001.3</v>
      </c>
      <c r="F29" s="15">
        <v>996</v>
      </c>
      <c r="G29" s="15">
        <v>997.2</v>
      </c>
      <c r="I29">
        <f t="shared" si="0"/>
        <v>997.2947999999999</v>
      </c>
    </row>
    <row r="30" spans="1:9" x14ac:dyDescent="0.35">
      <c r="A30" s="15" t="s">
        <v>82</v>
      </c>
      <c r="B30" s="25">
        <v>24810</v>
      </c>
      <c r="C30" s="15">
        <v>772274</v>
      </c>
      <c r="D30" s="15" t="s">
        <v>107</v>
      </c>
      <c r="E30" s="15">
        <v>999.7</v>
      </c>
      <c r="F30" s="15">
        <v>996.1</v>
      </c>
      <c r="G30" s="15">
        <v>995.8</v>
      </c>
      <c r="I30">
        <f t="shared" si="0"/>
        <v>995.80117000000007</v>
      </c>
    </row>
    <row r="31" spans="1:9" x14ac:dyDescent="0.35">
      <c r="A31" s="15" t="s">
        <v>82</v>
      </c>
      <c r="B31" s="25">
        <v>24810</v>
      </c>
      <c r="C31" s="15">
        <v>772275</v>
      </c>
      <c r="D31" s="15" t="s">
        <v>125</v>
      </c>
      <c r="E31" s="15">
        <v>1000.1</v>
      </c>
      <c r="F31" s="15">
        <v>996.1</v>
      </c>
      <c r="G31" s="15">
        <v>996.1</v>
      </c>
      <c r="I31">
        <f t="shared" si="0"/>
        <v>996.19961000000012</v>
      </c>
    </row>
    <row r="32" spans="1:9" x14ac:dyDescent="0.35">
      <c r="A32" s="15" t="s">
        <v>82</v>
      </c>
      <c r="B32" s="25">
        <v>24813</v>
      </c>
      <c r="C32" s="15">
        <v>781122</v>
      </c>
      <c r="D32" s="15" t="s">
        <v>102</v>
      </c>
      <c r="E32" s="15">
        <v>1000</v>
      </c>
      <c r="F32" s="15">
        <v>996.9</v>
      </c>
      <c r="G32" s="15">
        <v>996.9</v>
      </c>
      <c r="I32">
        <f t="shared" si="0"/>
        <v>996.9</v>
      </c>
    </row>
    <row r="33" spans="1:9" x14ac:dyDescent="0.35">
      <c r="A33" s="15" t="s">
        <v>96</v>
      </c>
      <c r="B33" s="25">
        <v>24814</v>
      </c>
      <c r="C33" s="15">
        <v>567028</v>
      </c>
      <c r="D33" s="15" t="s">
        <v>97</v>
      </c>
      <c r="E33" s="15">
        <v>999.9</v>
      </c>
      <c r="F33" s="15">
        <v>995.8</v>
      </c>
      <c r="G33" s="15">
        <v>995.7</v>
      </c>
      <c r="I33">
        <f t="shared" si="0"/>
        <v>995.70041999999989</v>
      </c>
    </row>
    <row r="34" spans="1:9" x14ac:dyDescent="0.35">
      <c r="A34" s="15" t="s">
        <v>82</v>
      </c>
      <c r="B34" s="25">
        <v>24819</v>
      </c>
      <c r="C34" s="15">
        <v>789644</v>
      </c>
      <c r="D34" s="15" t="s">
        <v>117</v>
      </c>
      <c r="E34" s="15">
        <v>999.8</v>
      </c>
      <c r="F34" s="15">
        <v>996.3</v>
      </c>
      <c r="G34" s="15">
        <v>996.1</v>
      </c>
      <c r="I34">
        <f t="shared" si="0"/>
        <v>996.10073999999986</v>
      </c>
    </row>
    <row r="35" spans="1:9" x14ac:dyDescent="0.35">
      <c r="A35" s="15" t="s">
        <v>82</v>
      </c>
      <c r="B35" s="32">
        <v>24819</v>
      </c>
      <c r="C35" s="15">
        <v>789641</v>
      </c>
      <c r="D35" s="15" t="s">
        <v>86</v>
      </c>
      <c r="E35" s="15">
        <v>1000.2</v>
      </c>
      <c r="F35" s="15">
        <v>996.3</v>
      </c>
      <c r="G35" s="15">
        <v>996.4</v>
      </c>
      <c r="I35">
        <f t="shared" si="0"/>
        <v>996.49926000000005</v>
      </c>
    </row>
    <row r="36" spans="1:9" x14ac:dyDescent="0.35">
      <c r="A36" s="15" t="s">
        <v>96</v>
      </c>
      <c r="B36" s="25">
        <v>24824</v>
      </c>
      <c r="C36" s="15">
        <v>567028</v>
      </c>
      <c r="D36" s="15" t="s">
        <v>120</v>
      </c>
      <c r="E36" s="15">
        <v>999.8</v>
      </c>
      <c r="F36" s="15">
        <v>995.8</v>
      </c>
      <c r="G36" s="15">
        <v>995.6</v>
      </c>
      <c r="I36">
        <f t="shared" si="0"/>
        <v>995.60083999999995</v>
      </c>
    </row>
    <row r="37" spans="1:9" x14ac:dyDescent="0.35">
      <c r="A37" s="15" t="s">
        <v>82</v>
      </c>
      <c r="B37" s="25">
        <v>24827</v>
      </c>
      <c r="C37" s="15">
        <v>811314</v>
      </c>
      <c r="D37" s="15" t="s">
        <v>90</v>
      </c>
      <c r="E37" s="15">
        <v>1000.1</v>
      </c>
      <c r="F37" s="15">
        <v>995.6</v>
      </c>
      <c r="G37" s="15">
        <v>995.6</v>
      </c>
      <c r="I37">
        <f t="shared" si="0"/>
        <v>995.69956000000002</v>
      </c>
    </row>
    <row r="38" spans="1:9" x14ac:dyDescent="0.35">
      <c r="A38" s="15" t="s">
        <v>96</v>
      </c>
      <c r="B38" s="25">
        <v>24833</v>
      </c>
      <c r="C38" s="15">
        <v>576752</v>
      </c>
      <c r="D38" s="15" t="s">
        <v>138</v>
      </c>
      <c r="E38" s="15">
        <v>999.8</v>
      </c>
      <c r="F38" s="15">
        <v>995.9</v>
      </c>
      <c r="G38" s="15">
        <v>995.7</v>
      </c>
      <c r="I38">
        <f t="shared" si="0"/>
        <v>995.70081999999991</v>
      </c>
    </row>
    <row r="39" spans="1:9" x14ac:dyDescent="0.35">
      <c r="A39" s="15" t="s">
        <v>82</v>
      </c>
      <c r="B39" s="25">
        <v>24839</v>
      </c>
      <c r="C39" s="15">
        <v>838011</v>
      </c>
      <c r="D39" s="15" t="s">
        <v>113</v>
      </c>
      <c r="E39" s="15">
        <v>999.1</v>
      </c>
      <c r="F39" s="15">
        <v>998.7</v>
      </c>
      <c r="G39" s="15">
        <v>997.8</v>
      </c>
      <c r="I39">
        <f t="shared" si="0"/>
        <v>997.80117000000007</v>
      </c>
    </row>
    <row r="40" spans="1:9" x14ac:dyDescent="0.35">
      <c r="A40" s="15" t="s">
        <v>82</v>
      </c>
      <c r="B40" s="25">
        <v>24839</v>
      </c>
      <c r="C40" s="15">
        <v>838010</v>
      </c>
      <c r="D40" s="15" t="s">
        <v>122</v>
      </c>
      <c r="E40" s="15">
        <v>999.6</v>
      </c>
      <c r="F40" s="15">
        <v>998.7</v>
      </c>
      <c r="G40" s="15">
        <v>998.3</v>
      </c>
      <c r="I40">
        <f t="shared" si="0"/>
        <v>998.30052000000001</v>
      </c>
    </row>
    <row r="41" spans="1:9" x14ac:dyDescent="0.35">
      <c r="A41" s="15" t="s">
        <v>82</v>
      </c>
      <c r="B41" s="25">
        <v>24839</v>
      </c>
      <c r="C41" s="15">
        <v>836951</v>
      </c>
      <c r="D41" s="15" t="s">
        <v>134</v>
      </c>
      <c r="E41" s="15">
        <v>1001.3</v>
      </c>
      <c r="F41" s="15">
        <v>996.9</v>
      </c>
      <c r="G41" s="15">
        <v>998.1</v>
      </c>
      <c r="I41">
        <f t="shared" si="0"/>
        <v>998.19596999999999</v>
      </c>
    </row>
    <row r="42" spans="1:9" x14ac:dyDescent="0.35">
      <c r="A42" s="15" t="s">
        <v>82</v>
      </c>
      <c r="B42" s="25">
        <v>24852</v>
      </c>
      <c r="C42" s="15">
        <v>858977</v>
      </c>
      <c r="D42" s="15" t="s">
        <v>126</v>
      </c>
      <c r="E42" s="15">
        <v>1000.8</v>
      </c>
      <c r="F42" s="15">
        <v>995.6</v>
      </c>
      <c r="G42" s="15">
        <v>996.3</v>
      </c>
      <c r="I42">
        <f t="shared" si="0"/>
        <v>996.39648</v>
      </c>
    </row>
    <row r="43" spans="1:9" x14ac:dyDescent="0.35">
      <c r="A43" s="15" t="s">
        <v>82</v>
      </c>
      <c r="B43" s="32">
        <v>24898</v>
      </c>
      <c r="C43" s="15">
        <v>948659</v>
      </c>
      <c r="D43" s="15" t="s">
        <v>119</v>
      </c>
      <c r="E43" s="15">
        <v>999.9</v>
      </c>
      <c r="F43" s="15">
        <v>997.3</v>
      </c>
      <c r="G43" s="15">
        <v>997.2</v>
      </c>
      <c r="I43">
        <f t="shared" si="0"/>
        <v>997.20026999999993</v>
      </c>
    </row>
    <row r="44" spans="1:9" x14ac:dyDescent="0.35">
      <c r="A44" s="15" t="s">
        <v>82</v>
      </c>
      <c r="B44" s="25">
        <v>24912</v>
      </c>
      <c r="C44" s="15">
        <v>913637</v>
      </c>
      <c r="D44" s="15" t="s">
        <v>135</v>
      </c>
      <c r="E44" s="15">
        <v>999.7</v>
      </c>
      <c r="F44" s="15">
        <v>996.5</v>
      </c>
      <c r="G44" s="15">
        <v>996.2</v>
      </c>
      <c r="I44">
        <f t="shared" si="0"/>
        <v>996.20105000000001</v>
      </c>
    </row>
    <row r="45" spans="1:9" x14ac:dyDescent="0.35">
      <c r="A45" s="15" t="s">
        <v>82</v>
      </c>
      <c r="B45" s="25">
        <v>24916</v>
      </c>
      <c r="C45" s="15">
        <v>923352</v>
      </c>
      <c r="D45" s="15" t="s">
        <v>136</v>
      </c>
      <c r="E45" s="15">
        <v>1000.1</v>
      </c>
      <c r="F45" s="15">
        <v>996.2</v>
      </c>
      <c r="G45" s="15">
        <v>996.2</v>
      </c>
      <c r="I45">
        <f t="shared" si="0"/>
        <v>996.29962000000012</v>
      </c>
    </row>
    <row r="46" spans="1:9" x14ac:dyDescent="0.35">
      <c r="A46" s="15" t="s">
        <v>82</v>
      </c>
      <c r="B46" s="25">
        <v>24921</v>
      </c>
      <c r="C46" s="15">
        <v>933949</v>
      </c>
      <c r="D46" s="15" t="s">
        <v>130</v>
      </c>
      <c r="E46" s="15">
        <v>999.8</v>
      </c>
      <c r="F46" s="15">
        <v>996.6</v>
      </c>
      <c r="G46" s="15">
        <v>996.4</v>
      </c>
      <c r="I46">
        <f t="shared" si="0"/>
        <v>996.40067999999997</v>
      </c>
    </row>
    <row r="47" spans="1:9" x14ac:dyDescent="0.35">
      <c r="A47" s="15" t="s">
        <v>82</v>
      </c>
      <c r="B47" s="25">
        <v>24924</v>
      </c>
      <c r="C47" s="15">
        <v>944236</v>
      </c>
      <c r="D47" s="15" t="s">
        <v>121</v>
      </c>
      <c r="E47" s="15">
        <v>998.8</v>
      </c>
      <c r="F47" s="15">
        <v>996.6</v>
      </c>
      <c r="G47" s="15">
        <v>995.4</v>
      </c>
      <c r="I47">
        <f t="shared" si="0"/>
        <v>995.40407999999991</v>
      </c>
    </row>
    <row r="48" spans="1:9" x14ac:dyDescent="0.35">
      <c r="A48" s="15" t="s">
        <v>82</v>
      </c>
      <c r="B48" s="25">
        <v>24926</v>
      </c>
      <c r="C48" s="15">
        <v>948658</v>
      </c>
      <c r="D48" s="15" t="s">
        <v>106</v>
      </c>
      <c r="E48" s="15">
        <v>1000</v>
      </c>
      <c r="F48" s="15">
        <v>997.3</v>
      </c>
      <c r="G48" s="15">
        <v>997.3</v>
      </c>
      <c r="I48">
        <f t="shared" si="0"/>
        <v>997.3</v>
      </c>
    </row>
    <row r="49" spans="1:9" x14ac:dyDescent="0.35">
      <c r="A49" s="15" t="s">
        <v>96</v>
      </c>
      <c r="B49" s="25">
        <v>24930</v>
      </c>
      <c r="C49" s="15">
        <v>625442</v>
      </c>
      <c r="D49" s="15" t="s">
        <v>118</v>
      </c>
      <c r="E49" s="26">
        <v>1000</v>
      </c>
      <c r="F49" s="15">
        <v>996.4</v>
      </c>
      <c r="G49" s="15">
        <v>996.4</v>
      </c>
      <c r="I49">
        <f t="shared" si="0"/>
        <v>996.4</v>
      </c>
    </row>
    <row r="50" spans="1:9" x14ac:dyDescent="0.35">
      <c r="A50" s="15" t="s">
        <v>82</v>
      </c>
      <c r="B50" s="25">
        <v>24947</v>
      </c>
      <c r="C50" s="15">
        <v>970080</v>
      </c>
      <c r="D50" s="15" t="s">
        <v>87</v>
      </c>
      <c r="E50" s="15">
        <v>999.6</v>
      </c>
      <c r="F50" s="15">
        <v>996</v>
      </c>
      <c r="G50" s="15">
        <v>995.6</v>
      </c>
      <c r="I50">
        <f t="shared" si="0"/>
        <v>995.60159999999996</v>
      </c>
    </row>
    <row r="51" spans="1:9" x14ac:dyDescent="0.35">
      <c r="A51" s="15" t="s">
        <v>82</v>
      </c>
      <c r="B51" s="25">
        <v>25019</v>
      </c>
      <c r="C51" s="15">
        <v>91492</v>
      </c>
      <c r="D51" s="15" t="s">
        <v>111</v>
      </c>
      <c r="E51" s="15">
        <v>999.8</v>
      </c>
      <c r="F51" s="15">
        <v>996.5</v>
      </c>
      <c r="G51" s="15">
        <v>996.3</v>
      </c>
      <c r="I51">
        <f t="shared" si="0"/>
        <v>996.30070000000001</v>
      </c>
    </row>
    <row r="53" spans="1:9" ht="15.5" x14ac:dyDescent="0.35">
      <c r="D53" s="40"/>
      <c r="E53" s="40" t="s">
        <v>79</v>
      </c>
      <c r="F53" s="40"/>
      <c r="G53" s="40" t="s">
        <v>155</v>
      </c>
    </row>
    <row r="54" spans="1:9" ht="15.5" x14ac:dyDescent="0.35">
      <c r="D54" s="40" t="s">
        <v>154</v>
      </c>
      <c r="E54" s="40">
        <f>SUM(E2:E51)/1000</f>
        <v>50.019200000000012</v>
      </c>
      <c r="F54" s="40"/>
      <c r="G54" s="40">
        <f>SUM(G2:G51)/1000</f>
        <v>49.848100000000002</v>
      </c>
      <c r="I54">
        <f>SUM(I2:I51)</f>
        <v>49850.021040000007</v>
      </c>
    </row>
    <row r="55" spans="1:9" x14ac:dyDescent="0.35">
      <c r="E55" s="30"/>
      <c r="F55" s="30"/>
      <c r="G55" s="30"/>
      <c r="I55">
        <f>I54/1000</f>
        <v>49.850021040000009</v>
      </c>
    </row>
    <row r="59" spans="1:9" ht="18.5" x14ac:dyDescent="0.45">
      <c r="D59" s="46" t="s">
        <v>161</v>
      </c>
      <c r="E59" s="46"/>
      <c r="F59" s="46"/>
      <c r="G59" s="46"/>
    </row>
    <row r="60" spans="1:9" x14ac:dyDescent="0.35">
      <c r="D60" s="15" t="s">
        <v>72</v>
      </c>
      <c r="E60" s="15">
        <f>'ACTIF ET DEVOLUTION'!E18</f>
        <v>50</v>
      </c>
      <c r="F60" s="16">
        <f>'ACTIF ET DEVOLUTION'!F18</f>
        <v>109686.48</v>
      </c>
      <c r="G60" s="16">
        <f>E60*F60</f>
        <v>5484324</v>
      </c>
    </row>
    <row r="61" spans="1:9" x14ac:dyDescent="0.35">
      <c r="D61" s="15" t="s">
        <v>73</v>
      </c>
      <c r="E61" s="15"/>
      <c r="F61" s="15"/>
      <c r="G61" s="16">
        <f>-('ACTIF ET DEVOLUTION'!R52+'ACTIF ET DEVOLUTION'!R53)</f>
        <v>34906.593632999997</v>
      </c>
    </row>
    <row r="62" spans="1:9" x14ac:dyDescent="0.35">
      <c r="D62" s="15" t="s">
        <v>45</v>
      </c>
      <c r="E62" s="15"/>
      <c r="F62" s="15"/>
      <c r="G62" s="16">
        <f>-('ACTIF ET DEVOLUTION'!R47+'ACTIF ET DEVOLUTION'!R48+'ACTIF ET DEVOLUTION'!R49+'ACTIF ET DEVOLUTION'!R50+'ACTIF ET DEVOLUTION'!R51)</f>
        <v>1042617.8002666666</v>
      </c>
    </row>
    <row r="63" spans="1:9" x14ac:dyDescent="0.35">
      <c r="D63" s="15" t="s">
        <v>74</v>
      </c>
      <c r="E63" s="15"/>
      <c r="F63" s="15"/>
      <c r="G63" s="15">
        <f>'ACTIF ET DEVOLUTION'!D18/'ACTIF ET DEVOLUTION'!D20</f>
        <v>0.92951279835387313</v>
      </c>
    </row>
    <row r="64" spans="1:9" x14ac:dyDescent="0.35">
      <c r="D64" s="15" t="s">
        <v>75</v>
      </c>
      <c r="E64" s="15"/>
      <c r="F64" s="15"/>
      <c r="G64" s="16">
        <f>(G61+G62)*G63</f>
        <v>1001572.7146682402</v>
      </c>
    </row>
    <row r="65" spans="4:7" x14ac:dyDescent="0.35">
      <c r="D65" s="15" t="s">
        <v>153</v>
      </c>
      <c r="E65" s="15">
        <f>E60</f>
        <v>50</v>
      </c>
      <c r="F65" s="16">
        <f>(G60+G64)/E65</f>
        <v>129717.93429336481</v>
      </c>
      <c r="G65" s="15"/>
    </row>
  </sheetData>
  <autoFilter ref="A1:G55" xr:uid="{E6FDBE93-D393-4A71-AB8C-EED0EC527A6E}">
    <sortState xmlns:xlrd2="http://schemas.microsoft.com/office/spreadsheetml/2017/richdata2" ref="A2:G55">
      <sortCondition ref="B1:B55"/>
    </sortState>
  </autoFilter>
  <mergeCells count="1">
    <mergeCell ref="D59:G59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ACTIF ET DEVOLUTION</vt:lpstr>
      <vt:lpstr>EVOLUTION QINTESSA CAPI</vt:lpstr>
      <vt:lpstr>LINGOTS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33659</dc:creator>
  <cp:lastModifiedBy>Caroline Parent-Gros</cp:lastModifiedBy>
  <dcterms:created xsi:type="dcterms:W3CDTF">2015-06-05T18:19:34Z</dcterms:created>
  <dcterms:modified xsi:type="dcterms:W3CDTF">2026-04-15T07:09:51Z</dcterms:modified>
</cp:coreProperties>
</file>