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IRPP JACQUES PARENT MILL 2020\"/>
    </mc:Choice>
  </mc:AlternateContent>
  <xr:revisionPtr revIDLastSave="0" documentId="8_{B0AABF1C-E8C2-4B29-AD93-37D3D1FF8637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RM-REELS-2020" sheetId="1" r:id="rId1"/>
  </sheets>
  <externalReferences>
    <externalReference r:id="rId2"/>
    <externalReference r:id="rId3"/>
    <externalReference r:id="rId4"/>
  </externalReferences>
  <definedNames>
    <definedName name="BOUT" localSheetId="0">[1]cac5681!$E$23</definedName>
    <definedName name="BOUT">[2]cac5681!$E$23</definedName>
    <definedName name="BUREAU" localSheetId="0">[1]cac5681!$E$26</definedName>
    <definedName name="BUREAU">[2]cac5681!$E$26</definedName>
    <definedName name="CARBU" localSheetId="0">[1]cac5681!$E$24</definedName>
    <definedName name="CARBU">[2]cac5681!$E$24</definedName>
    <definedName name="CAV" localSheetId="0">#REF!</definedName>
    <definedName name="CAV">#REF!</definedName>
    <definedName name="CAVE" localSheetId="0">[1]cac5681!$E$29</definedName>
    <definedName name="CAVE">[2]cac5681!$E$29</definedName>
    <definedName name="CU" localSheetId="0">#REF!</definedName>
    <definedName name="CU">#REF!</definedName>
    <definedName name="cue" localSheetId="0">#REF!</definedName>
    <definedName name="cue">#REF!</definedName>
    <definedName name="DOSSIER" localSheetId="0">[1]cac5681!$B$8</definedName>
    <definedName name="DOSSIER">[2]cac5681!$B$8</definedName>
    <definedName name="EMBAL" localSheetId="0">[1]cac5681!$E$22</definedName>
    <definedName name="EMBAL">[2]cac5681!$E$22</definedName>
    <definedName name="ENGRAIS" localSheetId="0">[1]cac5681!$E$19</definedName>
    <definedName name="ENGRAIS">[2]cac5681!$E$19</definedName>
    <definedName name="FOURNIT" localSheetId="0">#REF!</definedName>
    <definedName name="FOURNIT">#REF!</definedName>
    <definedName name="N" localSheetId="0">#REF!</definedName>
    <definedName name="N">#REF!</definedName>
    <definedName name="N_1" localSheetId="0">#REF!</definedName>
    <definedName name="N_1">#REF!</definedName>
    <definedName name="n_2" localSheetId="0">#REF!</definedName>
    <definedName name="n_2">#REF!</definedName>
    <definedName name="n_3" localSheetId="0">#REF!</definedName>
    <definedName name="n_3">#REF!</definedName>
    <definedName name="n_4" localSheetId="0">#REF!</definedName>
    <definedName name="n_4">#REF!</definedName>
    <definedName name="OCCAS" localSheetId="0">[1]cac5681!$E$46</definedName>
    <definedName name="OCCAS">[2]cac5681!$E$46</definedName>
    <definedName name="OENO" localSheetId="0">[1]cac5681!$E$30</definedName>
    <definedName name="OENO">[2]cac5681!$E$30</definedName>
    <definedName name="PERMA" localSheetId="0">[1]cac5681!$E$45</definedName>
    <definedName name="PERMA">[2]cac5681!$E$45</definedName>
    <definedName name="PHYTO" localSheetId="0">[1]cac5681!$E$21</definedName>
    <definedName name="PHYTO">[2]cac5681!$E$21</definedName>
    <definedName name="PLANTS" localSheetId="0">[1]cac5681!$E$20</definedName>
    <definedName name="PLANTS">[2]cac5681!$E$20</definedName>
    <definedName name="PRODUIT" localSheetId="0">[1]cac5681!$E$25</definedName>
    <definedName name="PRODUIT">[2]cac5681!$E$25</definedName>
    <definedName name="TAUX" localSheetId="0">#REF!</definedName>
    <definedName name="TAUX">#REF!</definedName>
    <definedName name="VENDANG" localSheetId="0">[1]cac5681!$E$47</definedName>
    <definedName name="VENDANG">[2]cac5681!$E$47</definedName>
    <definedName name="VIGNE" localSheetId="0">[1]cac5681!$E$28</definedName>
    <definedName name="VIGNE">[2]cac5681!$E$28</definedName>
    <definedName name="VRP" localSheetId="0">[1]cac5681!$E$48</definedName>
    <definedName name="VRP">[2]cac5681!$E$48</definedName>
    <definedName name="_xlnm.Print_Area" localSheetId="0">'FERM-REELS-2020'!$A$1:$M$100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2" i="1" l="1"/>
  <c r="C91" i="1"/>
  <c r="F90" i="1"/>
  <c r="D90" i="1"/>
  <c r="C95" i="1" s="1"/>
  <c r="J87" i="1"/>
  <c r="G86" i="1"/>
  <c r="E86" i="1"/>
  <c r="G84" i="1"/>
  <c r="E84" i="1"/>
  <c r="C84" i="1"/>
  <c r="I83" i="1"/>
  <c r="G83" i="1"/>
  <c r="C83" i="1"/>
  <c r="E83" i="1" s="1"/>
  <c r="E82" i="1"/>
  <c r="C82" i="1"/>
  <c r="C80" i="1"/>
  <c r="E80" i="1" s="1"/>
  <c r="C79" i="1"/>
  <c r="E79" i="1" s="1"/>
  <c r="G78" i="1"/>
  <c r="G90" i="1" s="1"/>
  <c r="M76" i="1"/>
  <c r="L76" i="1"/>
  <c r="K76" i="1"/>
  <c r="I76" i="1"/>
  <c r="J70" i="1"/>
  <c r="H70" i="1"/>
  <c r="J69" i="1"/>
  <c r="H69" i="1"/>
  <c r="I68" i="1"/>
  <c r="I89" i="1" s="1"/>
  <c r="D68" i="1"/>
  <c r="C68" i="1"/>
  <c r="K67" i="1"/>
  <c r="M67" i="1" s="1"/>
  <c r="M68" i="1" s="1"/>
  <c r="M65" i="1"/>
  <c r="L65" i="1"/>
  <c r="K65" i="1"/>
  <c r="I65" i="1"/>
  <c r="B65" i="1"/>
  <c r="J54" i="1"/>
  <c r="C54" i="1"/>
  <c r="D54" i="1" s="1"/>
  <c r="F54" i="1" s="1"/>
  <c r="D53" i="1"/>
  <c r="F53" i="1" s="1"/>
  <c r="E52" i="1"/>
  <c r="E53" i="1" s="1"/>
  <c r="E54" i="1" s="1"/>
  <c r="D52" i="1"/>
  <c r="F52" i="1" s="1"/>
  <c r="K52" i="1" s="1"/>
  <c r="M52" i="1" s="1"/>
  <c r="M83" i="1" s="1"/>
  <c r="C51" i="1"/>
  <c r="C55" i="1" s="1"/>
  <c r="D47" i="1"/>
  <c r="C47" i="1"/>
  <c r="J46" i="1"/>
  <c r="H46" i="1"/>
  <c r="F46" i="1"/>
  <c r="K46" i="1" s="1"/>
  <c r="M44" i="1"/>
  <c r="L44" i="1"/>
  <c r="K44" i="1"/>
  <c r="I44" i="1"/>
  <c r="J40" i="1"/>
  <c r="J68" i="1" s="1"/>
  <c r="H40" i="1"/>
  <c r="H68" i="1" s="1"/>
  <c r="D40" i="1"/>
  <c r="C40" i="1"/>
  <c r="J39" i="1"/>
  <c r="H39" i="1"/>
  <c r="F39" i="1"/>
  <c r="K39" i="1" s="1"/>
  <c r="M37" i="1"/>
  <c r="L37" i="1"/>
  <c r="K37" i="1"/>
  <c r="I37" i="1"/>
  <c r="J31" i="1"/>
  <c r="H31" i="1"/>
  <c r="G31" i="1"/>
  <c r="F31" i="1"/>
  <c r="I31" i="1" s="1"/>
  <c r="I82" i="1" s="1"/>
  <c r="D31" i="1"/>
  <c r="D30" i="1"/>
  <c r="F30" i="1" s="1"/>
  <c r="K30" i="1" s="1"/>
  <c r="J29" i="1"/>
  <c r="H29" i="1"/>
  <c r="F29" i="1"/>
  <c r="K29" i="1" s="1"/>
  <c r="C29" i="1"/>
  <c r="J28" i="1"/>
  <c r="H28" i="1"/>
  <c r="F28" i="1"/>
  <c r="K28" i="1" s="1"/>
  <c r="J27" i="1"/>
  <c r="H27" i="1"/>
  <c r="F27" i="1"/>
  <c r="D26" i="1"/>
  <c r="F26" i="1" s="1"/>
  <c r="C26" i="1"/>
  <c r="C81" i="1" s="1"/>
  <c r="E81" i="1" s="1"/>
  <c r="J25" i="1"/>
  <c r="H25" i="1"/>
  <c r="F25" i="1"/>
  <c r="K25" i="1" s="1"/>
  <c r="D25" i="1"/>
  <c r="F24" i="1"/>
  <c r="I24" i="1" s="1"/>
  <c r="D24" i="1"/>
  <c r="F23" i="1"/>
  <c r="I23" i="1" s="1"/>
  <c r="I79" i="1" s="1"/>
  <c r="D23" i="1"/>
  <c r="J22" i="1"/>
  <c r="H22" i="1"/>
  <c r="G22" i="1"/>
  <c r="D22" i="1"/>
  <c r="M20" i="1"/>
  <c r="L20" i="1"/>
  <c r="K20" i="1"/>
  <c r="I20" i="1"/>
  <c r="J17" i="1"/>
  <c r="G17" i="1"/>
  <c r="G39" i="1" s="1"/>
  <c r="G46" i="1" s="1"/>
  <c r="F17" i="1"/>
  <c r="I17" i="1" s="1"/>
  <c r="B17" i="1"/>
  <c r="C16" i="1"/>
  <c r="C78" i="1" s="1"/>
  <c r="B2" i="1"/>
  <c r="M12" i="1" s="1"/>
  <c r="D33" i="1" l="1"/>
  <c r="K24" i="1"/>
  <c r="K27" i="1"/>
  <c r="M27" i="1" s="1"/>
  <c r="K17" i="1"/>
  <c r="C18" i="1"/>
  <c r="D16" i="1"/>
  <c r="F16" i="1" s="1"/>
  <c r="K23" i="1"/>
  <c r="K79" i="1" s="1"/>
  <c r="C33" i="1"/>
  <c r="M89" i="1"/>
  <c r="M94" i="1" s="1"/>
  <c r="M69" i="1"/>
  <c r="M70" i="1"/>
  <c r="M30" i="1"/>
  <c r="L30" i="1"/>
  <c r="K54" i="1"/>
  <c r="I54" i="1"/>
  <c r="C72" i="1"/>
  <c r="K53" i="1"/>
  <c r="I53" i="1"/>
  <c r="I84" i="1" s="1"/>
  <c r="E78" i="1"/>
  <c r="E90" i="1" s="1"/>
  <c r="M39" i="1"/>
  <c r="M40" i="1" s="1"/>
  <c r="L39" i="1"/>
  <c r="L40" i="1" s="1"/>
  <c r="K40" i="1"/>
  <c r="F91" i="1"/>
  <c r="L25" i="1"/>
  <c r="M25" i="1"/>
  <c r="K16" i="1"/>
  <c r="I16" i="1"/>
  <c r="I18" i="1" s="1"/>
  <c r="L17" i="1"/>
  <c r="M17" i="1"/>
  <c r="M28" i="1"/>
  <c r="L28" i="1"/>
  <c r="K26" i="1"/>
  <c r="I26" i="1"/>
  <c r="M29" i="1"/>
  <c r="L29" i="1"/>
  <c r="K47" i="1"/>
  <c r="L46" i="1"/>
  <c r="M46" i="1"/>
  <c r="I69" i="1"/>
  <c r="I70" i="1" s="1"/>
  <c r="K83" i="1"/>
  <c r="K12" i="1"/>
  <c r="L23" i="1"/>
  <c r="L79" i="1" s="1"/>
  <c r="I28" i="1"/>
  <c r="I29" i="1"/>
  <c r="K31" i="1"/>
  <c r="I39" i="1"/>
  <c r="I40" i="1" s="1"/>
  <c r="D51" i="1"/>
  <c r="I27" i="1"/>
  <c r="D18" i="1"/>
  <c r="L52" i="1"/>
  <c r="L83" i="1" s="1"/>
  <c r="C85" i="1"/>
  <c r="E85" i="1" s="1"/>
  <c r="K68" i="1"/>
  <c r="M23" i="1"/>
  <c r="M79" i="1" s="1"/>
  <c r="I25" i="1"/>
  <c r="I80" i="1" s="1"/>
  <c r="F22" i="1"/>
  <c r="I46" i="1"/>
  <c r="L67" i="1"/>
  <c r="L68" i="1" s="1"/>
  <c r="K80" i="1"/>
  <c r="L27" i="1" l="1"/>
  <c r="L24" i="1"/>
  <c r="L80" i="1" s="1"/>
  <c r="M24" i="1"/>
  <c r="M80" i="1" s="1"/>
  <c r="C90" i="1"/>
  <c r="C93" i="1" s="1"/>
  <c r="C96" i="1" s="1"/>
  <c r="K18" i="1"/>
  <c r="L16" i="1"/>
  <c r="L18" i="1" s="1"/>
  <c r="M16" i="1"/>
  <c r="M18" i="1" s="1"/>
  <c r="M26" i="1"/>
  <c r="M81" i="1" s="1"/>
  <c r="L26" i="1"/>
  <c r="L81" i="1" s="1"/>
  <c r="K81" i="1"/>
  <c r="M54" i="1"/>
  <c r="L54" i="1"/>
  <c r="D55" i="1"/>
  <c r="D72" i="1" s="1"/>
  <c r="F51" i="1"/>
  <c r="L31" i="1"/>
  <c r="L82" i="1" s="1"/>
  <c r="M31" i="1"/>
  <c r="M82" i="1" s="1"/>
  <c r="K82" i="1"/>
  <c r="K84" i="1"/>
  <c r="L53" i="1"/>
  <c r="M53" i="1"/>
  <c r="M84" i="1" s="1"/>
  <c r="L84" i="1"/>
  <c r="L69" i="1"/>
  <c r="L70" i="1" s="1"/>
  <c r="L89" i="1"/>
  <c r="L94" i="1" s="1"/>
  <c r="M41" i="1"/>
  <c r="K69" i="1"/>
  <c r="K89" i="1"/>
  <c r="K94" i="1" s="1"/>
  <c r="K70" i="1"/>
  <c r="L47" i="1"/>
  <c r="I47" i="1"/>
  <c r="M47" i="1"/>
  <c r="K41" i="1"/>
  <c r="K42" i="1" s="1"/>
  <c r="I81" i="1"/>
  <c r="I22" i="1"/>
  <c r="I33" i="1" s="1"/>
  <c r="K22" i="1"/>
  <c r="I41" i="1"/>
  <c r="I42" i="1" s="1"/>
  <c r="L41" i="1"/>
  <c r="I34" i="1" l="1"/>
  <c r="I73" i="1" s="1"/>
  <c r="M42" i="1"/>
  <c r="L42" i="1"/>
  <c r="K51" i="1"/>
  <c r="I51" i="1"/>
  <c r="K33" i="1"/>
  <c r="M22" i="1"/>
  <c r="L22" i="1"/>
  <c r="K78" i="1"/>
  <c r="I78" i="1"/>
  <c r="I61" i="1" l="1"/>
  <c r="I55" i="1"/>
  <c r="I85" i="1"/>
  <c r="I87" i="1" s="1"/>
  <c r="I90" i="1" s="1"/>
  <c r="L85" i="1"/>
  <c r="M51" i="1"/>
  <c r="K85" i="1"/>
  <c r="K87" i="1" s="1"/>
  <c r="K90" i="1" s="1"/>
  <c r="L51" i="1"/>
  <c r="L55" i="1" s="1"/>
  <c r="K55" i="1"/>
  <c r="K60" i="1" s="1"/>
  <c r="L33" i="1"/>
  <c r="L78" i="1"/>
  <c r="M33" i="1"/>
  <c r="M78" i="1"/>
  <c r="K34" i="1"/>
  <c r="K35" i="1" s="1"/>
  <c r="I35" i="1"/>
  <c r="K72" i="1" l="1"/>
  <c r="K93" i="1"/>
  <c r="M85" i="1"/>
  <c r="M87" i="1" s="1"/>
  <c r="M90" i="1" s="1"/>
  <c r="M55" i="1"/>
  <c r="M60" i="1" s="1"/>
  <c r="M34" i="1"/>
  <c r="M35" i="1"/>
  <c r="K73" i="1"/>
  <c r="K74" i="1" s="1"/>
  <c r="K61" i="1"/>
  <c r="K62" i="1" s="1"/>
  <c r="L87" i="1"/>
  <c r="L90" i="1" s="1"/>
  <c r="L34" i="1"/>
  <c r="L60" i="1"/>
  <c r="L72" i="1"/>
  <c r="I60" i="1"/>
  <c r="I62" i="1" s="1"/>
  <c r="I72" i="1"/>
  <c r="I74" i="1" s="1"/>
  <c r="L93" i="1" l="1"/>
  <c r="M61" i="1"/>
  <c r="M73" i="1"/>
  <c r="L73" i="1"/>
  <c r="L74" i="1" s="1"/>
  <c r="L61" i="1"/>
  <c r="L62" i="1" s="1"/>
  <c r="M62" i="1"/>
  <c r="M93" i="1"/>
  <c r="M72" i="1"/>
  <c r="L35" i="1"/>
  <c r="M7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BUELYHA Sophie</author>
  </authors>
  <commentList>
    <comment ref="I3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BUELYHA Sophie:</t>
        </r>
        <r>
          <rPr>
            <sz val="9"/>
            <color indexed="81"/>
            <rFont val="Tahoma"/>
            <family val="2"/>
          </rPr>
          <t xml:space="preserve">
REC 2019 30,60
</t>
        </r>
      </text>
    </comment>
    <comment ref="E5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BUELYHA Sophie:</t>
        </r>
        <r>
          <rPr>
            <sz val="9"/>
            <color indexed="81"/>
            <rFont val="Tahoma"/>
            <family val="2"/>
          </rPr>
          <t xml:space="preserve">
VU ANNE 11HL A HECT A VERIF SUR BAIL N+1
</t>
        </r>
      </text>
    </comment>
    <comment ref="I5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BUELYHA Sophie:</t>
        </r>
        <r>
          <rPr>
            <sz val="9"/>
            <color indexed="81"/>
            <rFont val="Tahoma"/>
            <family val="2"/>
          </rPr>
          <t xml:space="preserve">
REC 2019 10ARES14
</t>
        </r>
      </text>
    </comment>
  </commentList>
</comments>
</file>

<file path=xl/sharedStrings.xml><?xml version="1.0" encoding="utf-8"?>
<sst xmlns="http://schemas.openxmlformats.org/spreadsheetml/2006/main" count="133" uniqueCount="91">
  <si>
    <t>SAS DOMAINE PARENT</t>
  </si>
  <si>
    <t xml:space="preserve"> </t>
  </si>
  <si>
    <t>BILAN</t>
  </si>
  <si>
    <t>FERMAGES REELS 2020</t>
  </si>
  <si>
    <t>Nature  &amp;  Lieu-Dit</t>
  </si>
  <si>
    <t>Surface</t>
  </si>
  <si>
    <t>FERMAGES reels 2020/ARRETE PREFECTORAL DU 17/11/2021</t>
  </si>
  <si>
    <t>PROVISIONS</t>
  </si>
  <si>
    <t>ha . a . ca</t>
  </si>
  <si>
    <t>Quantité</t>
  </si>
  <si>
    <t>Appellation</t>
  </si>
  <si>
    <t>COURS REELS 2019</t>
  </si>
  <si>
    <t>Montant</t>
  </si>
  <si>
    <t>COURS REELS 2020</t>
  </si>
  <si>
    <t>MR Jacques PARENT</t>
  </si>
  <si>
    <t>Recolte 2019</t>
  </si>
  <si>
    <t>Récolte 2020</t>
  </si>
  <si>
    <t>Récolte 2021</t>
  </si>
  <si>
    <t>PROV 8/12 2021</t>
  </si>
  <si>
    <t>Vignes</t>
  </si>
  <si>
    <t>Bourgogne ROUGE</t>
  </si>
  <si>
    <t>bourgogne RGE</t>
  </si>
  <si>
    <t xml:space="preserve">G.F.A. Du Dne PARENT </t>
  </si>
  <si>
    <t>Bourgogne Les crenilles</t>
  </si>
  <si>
    <r>
      <t xml:space="preserve">Beaune 1C Les Epenottes </t>
    </r>
    <r>
      <rPr>
        <b/>
        <sz val="8.5"/>
        <rFont val="Century Gothic"/>
        <family val="2"/>
      </rPr>
      <t xml:space="preserve"> </t>
    </r>
  </si>
  <si>
    <t>Beaune 1 cru RGE</t>
  </si>
  <si>
    <t>Pommard Noizons</t>
  </si>
  <si>
    <t>Pommard</t>
  </si>
  <si>
    <t>Pommard La croix blanche</t>
  </si>
  <si>
    <t>Pommard 1 Cru croix noires</t>
  </si>
  <si>
    <t>Pommard 1cru</t>
  </si>
  <si>
    <t>Pommard 1Cru  Chanlins BAS</t>
  </si>
  <si>
    <t>Pommard  Argilliéres</t>
  </si>
  <si>
    <t xml:space="preserve">Pommard  Chaponniéres </t>
  </si>
  <si>
    <t>Pommard 1c les petits Epenots</t>
  </si>
  <si>
    <t>Pommard 1C Epenots</t>
  </si>
  <si>
    <t>Pommard 1c les grands Epenots</t>
  </si>
  <si>
    <t>HTVA</t>
  </si>
  <si>
    <t>TVA</t>
  </si>
  <si>
    <t>TTC</t>
  </si>
  <si>
    <t>SAS NEGOCE JACQUES PARENT &amp; CIE</t>
  </si>
  <si>
    <t>Grandes Carelles</t>
  </si>
  <si>
    <t>Mme Anne PARENT</t>
  </si>
  <si>
    <t>Les Lormes</t>
  </si>
  <si>
    <t>Mme Thérèse DEVELET/PATHIAUX</t>
  </si>
  <si>
    <t>La Corvée</t>
  </si>
  <si>
    <t>1100L/H</t>
  </si>
  <si>
    <t>LADOIX 1C ROUGE</t>
  </si>
  <si>
    <t>Les Renardes</t>
  </si>
  <si>
    <t>CORTON ROUGE</t>
  </si>
  <si>
    <t>Le Rognet et Corton</t>
  </si>
  <si>
    <t>CORTON BLANC</t>
  </si>
  <si>
    <t>Champs des Pommiers</t>
  </si>
  <si>
    <t>BOURGOGNE ROUGE</t>
  </si>
  <si>
    <t>TOTAL VIGNES</t>
  </si>
  <si>
    <t>Ind. Const 1er Trim</t>
  </si>
  <si>
    <t>Bâtiments</t>
  </si>
  <si>
    <t>1TR2020</t>
  </si>
  <si>
    <t>Loyer Base</t>
  </si>
  <si>
    <r>
      <t xml:space="preserve">Cave cuverie </t>
    </r>
    <r>
      <rPr>
        <sz val="7"/>
        <rFont val="Century Gothic"/>
        <family val="2"/>
      </rPr>
      <t>(</t>
    </r>
    <r>
      <rPr>
        <b/>
        <sz val="7"/>
        <rFont val="Century Gothic"/>
        <family val="2"/>
      </rPr>
      <t>conclus en 1974</t>
    </r>
    <r>
      <rPr>
        <sz val="7"/>
        <rFont val="Century Gothic"/>
        <family val="2"/>
      </rPr>
      <t>)</t>
    </r>
  </si>
  <si>
    <t>TOTAL......</t>
  </si>
  <si>
    <t>RECAPITULATION</t>
  </si>
  <si>
    <t>FERM</t>
  </si>
  <si>
    <t>RECOLTE</t>
  </si>
  <si>
    <t>ECART</t>
  </si>
  <si>
    <t>metayage</t>
  </si>
  <si>
    <t>PROP</t>
  </si>
  <si>
    <t>R387</t>
  </si>
  <si>
    <t>Bourgogne rouge</t>
  </si>
  <si>
    <t>R311 25</t>
  </si>
  <si>
    <t>Beaune 1 Cru Epenottes</t>
  </si>
  <si>
    <t>R411</t>
  </si>
  <si>
    <t>R412</t>
  </si>
  <si>
    <t>Pommard 1 Cru</t>
  </si>
  <si>
    <t>Pommard Les Epenots</t>
  </si>
  <si>
    <t>R352 23</t>
  </si>
  <si>
    <t>Corton Renardes rouge</t>
  </si>
  <si>
    <t>B352</t>
  </si>
  <si>
    <t>Corton blanc</t>
  </si>
  <si>
    <t>R381 04</t>
  </si>
  <si>
    <t>Ladoix 1c la corvée</t>
  </si>
  <si>
    <t>R380</t>
  </si>
  <si>
    <t xml:space="preserve">Ladoix rouge </t>
  </si>
  <si>
    <t>VIGNES</t>
  </si>
  <si>
    <t>Batiments</t>
  </si>
  <si>
    <t>Cave Cuverie</t>
  </si>
  <si>
    <t>part de METAYAGE/PATHIAUX Yves</t>
  </si>
  <si>
    <t>VIGNES EN PROPRE</t>
  </si>
  <si>
    <t>TOTAL</t>
  </si>
  <si>
    <t>RECOLTE 2020</t>
  </si>
  <si>
    <t>8/12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</si>
</sst>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164" formatCode="00&quot; &quot;00&quot; &quot;00"/>
    <numFmt numFmtId="165" formatCode="0&quot; L/h&quot;"/>
    <numFmt numFmtId="166" formatCode="0&quot;L&quot;"/>
    <numFmt numFmtId="167" formatCode="_-* #,##0.00\ _F_-;\-* #,##0.00\ _F_-;_-* &quot;-&quot;??\ _F_-;_-@_-"/>
    <numFmt numFmtId="168" formatCode="_-* #,##0.00\ _€_-;\-* #,##0.00\ _€_-;_-* &quot;-&quot;??\ _€_-;_-@_-"/>
    <numFmt numFmtId="169" formatCode="00\.00\.00"/>
    <numFmt numFmtId="170" formatCode="0&quot; p&quot;"/>
    <numFmt numFmtId="171" formatCode="0&quot; l&quot;"/>
    <numFmt numFmtId="172" formatCode="0&quot; P/h&quot;"/>
    <numFmt numFmtId="173" formatCode="_-* #,##0.00\ [$€-40C]_-;\-* #,##0.00\ [$€-40C]_-;_-* &quot;-&quot;??\ [$€-40C]_-;_-@_-"/>
  </numFmts>
  <fonts count="33" x14ac:knownFonts="1">
    <font>
      <sz val="10"/>
      <name val="Arial"/>
    </font>
    <font>
      <sz val="10"/>
      <name val="MS Sans Serif"/>
      <family val="2"/>
    </font>
    <font>
      <b/>
      <u/>
      <sz val="20"/>
      <name val="Century Gothic"/>
      <family val="2"/>
    </font>
    <font>
      <u/>
      <sz val="10"/>
      <name val="Century Gothic"/>
      <family val="2"/>
    </font>
    <font>
      <sz val="10"/>
      <name val="Century Gothic"/>
      <family val="2"/>
    </font>
    <font>
      <b/>
      <sz val="10"/>
      <color rgb="FF0070C0"/>
      <name val="Century Gothic"/>
      <family val="2"/>
    </font>
    <font>
      <b/>
      <sz val="10"/>
      <name val="Century Gothic"/>
      <family val="2"/>
    </font>
    <font>
      <sz val="10"/>
      <name val="Arial"/>
      <family val="2"/>
    </font>
    <font>
      <b/>
      <u/>
      <sz val="10"/>
      <name val="Century Gothic"/>
      <family val="2"/>
    </font>
    <font>
      <b/>
      <u/>
      <sz val="14"/>
      <color rgb="FF0070C0"/>
      <name val="Century Gothic"/>
      <family val="2"/>
    </font>
    <font>
      <b/>
      <sz val="9"/>
      <color rgb="FF0070C0"/>
      <name val="Century Gothic"/>
      <family val="2"/>
    </font>
    <font>
      <b/>
      <u/>
      <sz val="16"/>
      <name val="Courier New"/>
      <family val="3"/>
    </font>
    <font>
      <b/>
      <u/>
      <sz val="13.5"/>
      <name val="Century Gothic"/>
      <family val="2"/>
    </font>
    <font>
      <b/>
      <sz val="9"/>
      <name val="Century Gothic"/>
      <family val="2"/>
    </font>
    <font>
      <b/>
      <sz val="12"/>
      <name val="Century Gothic"/>
      <family val="2"/>
    </font>
    <font>
      <b/>
      <sz val="11"/>
      <name val="Century Gothic"/>
      <family val="2"/>
    </font>
    <font>
      <b/>
      <sz val="8.5"/>
      <name val="Century Gothic"/>
      <family val="2"/>
    </font>
    <font>
      <i/>
      <sz val="10"/>
      <name val="Century Gothic"/>
      <family val="2"/>
    </font>
    <font>
      <b/>
      <sz val="14"/>
      <name val="Century Gothic"/>
      <family val="2"/>
    </font>
    <font>
      <b/>
      <u/>
      <sz val="8.5"/>
      <name val="Century Gothic"/>
      <family val="2"/>
    </font>
    <font>
      <b/>
      <sz val="8.5"/>
      <color rgb="FF0070C0"/>
      <name val="Century Gothic"/>
      <family val="2"/>
    </font>
    <font>
      <sz val="7"/>
      <name val="Century Gothic"/>
      <family val="2"/>
    </font>
    <font>
      <b/>
      <sz val="7"/>
      <name val="Century Gothic"/>
      <family val="2"/>
    </font>
    <font>
      <sz val="14"/>
      <name val="Century Gothic"/>
      <family val="2"/>
    </font>
    <font>
      <b/>
      <sz val="14"/>
      <color rgb="FF0070C0"/>
      <name val="Century Gothic"/>
      <family val="2"/>
    </font>
    <font>
      <b/>
      <sz val="12"/>
      <color rgb="FF0070C0"/>
      <name val="Century Gothic"/>
      <family val="2"/>
    </font>
    <font>
      <b/>
      <u/>
      <sz val="12"/>
      <name val="Century Gothic"/>
      <family val="2"/>
    </font>
    <font>
      <b/>
      <sz val="16"/>
      <name val="Century Gothic"/>
      <family val="2"/>
    </font>
    <font>
      <b/>
      <i/>
      <sz val="12"/>
      <color rgb="FF0070C0"/>
      <name val="Century Gothic"/>
      <family val="2"/>
    </font>
    <font>
      <b/>
      <sz val="13.5"/>
      <color rgb="FFFF0000"/>
      <name val="Century Gothic"/>
      <family val="2"/>
    </font>
    <font>
      <b/>
      <sz val="12"/>
      <color rgb="FFFF0000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1" fillId="0" borderId="0"/>
    <xf numFmtId="0" fontId="7" fillId="0" borderId="0"/>
    <xf numFmtId="44" fontId="7" fillId="0" borderId="0" applyFont="0" applyFill="0" applyBorder="0" applyAlignment="0" applyProtection="0"/>
    <xf numFmtId="168" fontId="7" fillId="0" borderId="0" applyFont="0" applyFill="0" applyBorder="0" applyAlignment="0" applyProtection="0"/>
  </cellStyleXfs>
  <cellXfs count="243">
    <xf numFmtId="0" fontId="0" fillId="0" borderId="0" xfId="0"/>
    <xf numFmtId="0" fontId="2" fillId="0" borderId="0" xfId="2" applyFont="1"/>
    <xf numFmtId="0" fontId="3" fillId="0" borderId="0" xfId="2" applyFont="1"/>
    <xf numFmtId="0" fontId="4" fillId="0" borderId="0" xfId="2" applyFont="1"/>
    <xf numFmtId="0" fontId="5" fillId="0" borderId="0" xfId="2" applyFont="1"/>
    <xf numFmtId="0" fontId="6" fillId="0" borderId="0" xfId="2" applyFont="1" applyAlignment="1">
      <alignment horizontal="center"/>
    </xf>
    <xf numFmtId="0" fontId="4" fillId="0" borderId="0" xfId="3" applyFont="1"/>
    <xf numFmtId="0" fontId="4" fillId="0" borderId="0" xfId="0" applyFont="1"/>
    <xf numFmtId="0" fontId="8" fillId="0" borderId="0" xfId="2" applyFont="1"/>
    <xf numFmtId="14" fontId="9" fillId="0" borderId="1" xfId="2" applyNumberFormat="1" applyFont="1" applyBorder="1" applyAlignment="1">
      <alignment horizontal="center"/>
    </xf>
    <xf numFmtId="0" fontId="10" fillId="0" borderId="0" xfId="2" applyFont="1"/>
    <xf numFmtId="0" fontId="12" fillId="0" borderId="0" xfId="2" applyFont="1" applyFill="1" applyBorder="1" applyAlignment="1">
      <alignment horizontal="center"/>
    </xf>
    <xf numFmtId="0" fontId="4" fillId="0" borderId="0" xfId="3" applyFont="1" applyFill="1"/>
    <xf numFmtId="0" fontId="4" fillId="0" borderId="0" xfId="0" applyFont="1" applyFill="1"/>
    <xf numFmtId="0" fontId="5" fillId="0" borderId="0" xfId="3" applyFont="1"/>
    <xf numFmtId="0" fontId="4" fillId="0" borderId="5" xfId="2" applyFont="1" applyBorder="1"/>
    <xf numFmtId="0" fontId="6" fillId="0" borderId="6" xfId="2" applyFont="1" applyBorder="1" applyAlignment="1">
      <alignment horizontal="left"/>
    </xf>
    <xf numFmtId="0" fontId="6" fillId="0" borderId="7" xfId="2" applyFont="1" applyBorder="1" applyAlignment="1">
      <alignment horizontal="center"/>
    </xf>
    <xf numFmtId="0" fontId="6" fillId="2" borderId="7" xfId="2" applyFont="1" applyFill="1" applyBorder="1" applyAlignment="1">
      <alignment horizontal="center"/>
    </xf>
    <xf numFmtId="0" fontId="6" fillId="3" borderId="7" xfId="2" applyFont="1" applyFill="1" applyBorder="1" applyAlignment="1">
      <alignment horizontal="center"/>
    </xf>
    <xf numFmtId="0" fontId="4" fillId="4" borderId="7" xfId="2" applyFont="1" applyFill="1" applyBorder="1" applyAlignment="1">
      <alignment horizontal="center"/>
    </xf>
    <xf numFmtId="0" fontId="4" fillId="0" borderId="8" xfId="2" applyFont="1" applyBorder="1"/>
    <xf numFmtId="0" fontId="4" fillId="0" borderId="9" xfId="2" applyFont="1" applyBorder="1"/>
    <xf numFmtId="0" fontId="6" fillId="0" borderId="10" xfId="2" applyFont="1" applyBorder="1" applyAlignment="1">
      <alignment horizontal="center"/>
    </xf>
    <xf numFmtId="0" fontId="13" fillId="0" borderId="10" xfId="2" applyFont="1" applyBorder="1" applyAlignment="1">
      <alignment horizontal="center"/>
    </xf>
    <xf numFmtId="0" fontId="13" fillId="0" borderId="8" xfId="2" applyFont="1" applyBorder="1" applyAlignment="1">
      <alignment horizontal="centerContinuous"/>
    </xf>
    <xf numFmtId="0" fontId="13" fillId="0" borderId="9" xfId="2" applyFont="1" applyBorder="1" applyAlignment="1">
      <alignment horizontal="centerContinuous"/>
    </xf>
    <xf numFmtId="0" fontId="10" fillId="0" borderId="10" xfId="2" applyFont="1" applyFill="1" applyBorder="1" applyAlignment="1">
      <alignment horizontal="center" wrapText="1"/>
    </xf>
    <xf numFmtId="0" fontId="10" fillId="2" borderId="10" xfId="2" applyFont="1" applyFill="1" applyBorder="1" applyAlignment="1">
      <alignment horizontal="center" wrapText="1"/>
    </xf>
    <xf numFmtId="14" fontId="14" fillId="2" borderId="10" xfId="2" applyNumberFormat="1" applyFont="1" applyFill="1" applyBorder="1" applyAlignment="1">
      <alignment horizontal="center"/>
    </xf>
    <xf numFmtId="14" fontId="14" fillId="3" borderId="10" xfId="2" applyNumberFormat="1" applyFont="1" applyFill="1" applyBorder="1" applyAlignment="1">
      <alignment horizontal="center"/>
    </xf>
    <xf numFmtId="14" fontId="14" fillId="4" borderId="10" xfId="2" applyNumberFormat="1" applyFont="1" applyFill="1" applyBorder="1" applyAlignment="1">
      <alignment horizontal="center"/>
    </xf>
    <xf numFmtId="0" fontId="4" fillId="0" borderId="11" xfId="2" applyFont="1" applyBorder="1"/>
    <xf numFmtId="0" fontId="4" fillId="0" borderId="0" xfId="2" applyFont="1" applyBorder="1"/>
    <xf numFmtId="0" fontId="5" fillId="0" borderId="0" xfId="2" applyFont="1" applyBorder="1"/>
    <xf numFmtId="0" fontId="4" fillId="0" borderId="12" xfId="2" applyFont="1" applyBorder="1"/>
    <xf numFmtId="0" fontId="8" fillId="4" borderId="0" xfId="2" applyFont="1" applyFill="1" applyBorder="1"/>
    <xf numFmtId="0" fontId="6" fillId="5" borderId="1" xfId="2" applyFont="1" applyFill="1" applyBorder="1" applyAlignment="1">
      <alignment horizontal="center"/>
    </xf>
    <xf numFmtId="0" fontId="14" fillId="2" borderId="1" xfId="2" applyFont="1" applyFill="1" applyBorder="1" applyAlignment="1">
      <alignment horizontal="center"/>
    </xf>
    <xf numFmtId="0" fontId="14" fillId="3" borderId="1" xfId="2" applyFont="1" applyFill="1" applyBorder="1" applyAlignment="1">
      <alignment horizontal="center"/>
    </xf>
    <xf numFmtId="0" fontId="14" fillId="4" borderId="1" xfId="2" applyFont="1" applyFill="1" applyBorder="1" applyAlignment="1">
      <alignment horizontal="center"/>
    </xf>
    <xf numFmtId="0" fontId="4" fillId="0" borderId="13" xfId="2" applyFont="1" applyBorder="1"/>
    <xf numFmtId="3" fontId="5" fillId="0" borderId="13" xfId="2" applyNumberFormat="1" applyFont="1" applyBorder="1"/>
    <xf numFmtId="4" fontId="4" fillId="0" borderId="13" xfId="2" applyNumberFormat="1" applyFont="1" applyBorder="1" applyAlignment="1">
      <alignment horizontal="center"/>
    </xf>
    <xf numFmtId="0" fontId="4" fillId="0" borderId="13" xfId="2" applyFont="1" applyBorder="1" applyAlignment="1">
      <alignment horizontal="center"/>
    </xf>
    <xf numFmtId="0" fontId="4" fillId="0" borderId="12" xfId="3" applyFont="1" applyBorder="1" applyAlignment="1"/>
    <xf numFmtId="164" fontId="4" fillId="0" borderId="13" xfId="2" applyNumberFormat="1" applyFont="1" applyBorder="1" applyAlignment="1">
      <alignment horizontal="center"/>
    </xf>
    <xf numFmtId="165" fontId="4" fillId="0" borderId="13" xfId="2" applyNumberFormat="1" applyFont="1" applyBorder="1" applyAlignment="1">
      <alignment horizontal="center"/>
    </xf>
    <xf numFmtId="166" fontId="4" fillId="0" borderId="13" xfId="2" applyNumberFormat="1" applyFont="1" applyBorder="1" applyAlignment="1">
      <alignment horizontal="center"/>
    </xf>
    <xf numFmtId="167" fontId="4" fillId="0" borderId="13" xfId="2" applyNumberFormat="1" applyFont="1" applyBorder="1" applyAlignment="1">
      <alignment horizontal="right"/>
    </xf>
    <xf numFmtId="168" fontId="4" fillId="0" borderId="12" xfId="5" applyFont="1" applyBorder="1" applyAlignment="1"/>
    <xf numFmtId="0" fontId="4" fillId="0" borderId="14" xfId="2" applyFont="1" applyBorder="1"/>
    <xf numFmtId="0" fontId="4" fillId="0" borderId="15" xfId="2" applyFont="1" applyBorder="1"/>
    <xf numFmtId="169" fontId="6" fillId="0" borderId="16" xfId="2" applyNumberFormat="1" applyFont="1" applyBorder="1" applyAlignment="1">
      <alignment horizontal="center"/>
    </xf>
    <xf numFmtId="170" fontId="4" fillId="0" borderId="17" xfId="2" applyNumberFormat="1" applyFont="1" applyBorder="1" applyAlignment="1">
      <alignment horizontal="center"/>
    </xf>
    <xf numFmtId="3" fontId="5" fillId="0" borderId="18" xfId="2" applyNumberFormat="1" applyFont="1" applyBorder="1"/>
    <xf numFmtId="167" fontId="15" fillId="5" borderId="1" xfId="2" applyNumberFormat="1" applyFont="1" applyFill="1" applyBorder="1" applyAlignment="1">
      <alignment horizontal="right"/>
    </xf>
    <xf numFmtId="3" fontId="5" fillId="0" borderId="19" xfId="2" applyNumberFormat="1" applyFont="1" applyBorder="1"/>
    <xf numFmtId="167" fontId="14" fillId="2" borderId="1" xfId="2" applyNumberFormat="1" applyFont="1" applyFill="1" applyBorder="1" applyAlignment="1">
      <alignment horizontal="right"/>
    </xf>
    <xf numFmtId="167" fontId="14" fillId="3" borderId="1" xfId="2" applyNumberFormat="1" applyFont="1" applyFill="1" applyBorder="1" applyAlignment="1">
      <alignment horizontal="right"/>
    </xf>
    <xf numFmtId="167" fontId="14" fillId="4" borderId="1" xfId="2" applyNumberFormat="1" applyFont="1" applyFill="1" applyBorder="1" applyAlignment="1">
      <alignment horizontal="right"/>
    </xf>
    <xf numFmtId="167" fontId="4" fillId="0" borderId="0" xfId="2" applyNumberFormat="1" applyFont="1" applyBorder="1" applyAlignment="1">
      <alignment horizontal="right"/>
    </xf>
    <xf numFmtId="167" fontId="4" fillId="0" borderId="12" xfId="2" applyNumberFormat="1" applyFont="1" applyBorder="1" applyAlignment="1">
      <alignment horizontal="right"/>
    </xf>
    <xf numFmtId="0" fontId="8" fillId="5" borderId="0" xfId="2" applyFont="1" applyFill="1" applyBorder="1"/>
    <xf numFmtId="167" fontId="6" fillId="0" borderId="0" xfId="2" applyNumberFormat="1" applyFont="1" applyBorder="1" applyAlignment="1">
      <alignment horizontal="right"/>
    </xf>
    <xf numFmtId="167" fontId="6" fillId="0" borderId="0" xfId="2" applyNumberFormat="1" applyFont="1" applyBorder="1" applyAlignment="1">
      <alignment horizontal="center"/>
    </xf>
    <xf numFmtId="167" fontId="6" fillId="0" borderId="12" xfId="2" applyNumberFormat="1" applyFont="1" applyBorder="1" applyAlignment="1">
      <alignment horizontal="center" wrapText="1"/>
    </xf>
    <xf numFmtId="167" fontId="4" fillId="0" borderId="20" xfId="2" applyNumberFormat="1" applyFont="1" applyBorder="1" applyAlignment="1">
      <alignment horizontal="right"/>
    </xf>
    <xf numFmtId="164" fontId="6" fillId="0" borderId="13" xfId="2" applyNumberFormat="1" applyFont="1" applyBorder="1" applyAlignment="1">
      <alignment horizontal="center"/>
    </xf>
    <xf numFmtId="164" fontId="6" fillId="6" borderId="13" xfId="2" applyNumberFormat="1" applyFont="1" applyFill="1" applyBorder="1" applyAlignment="1">
      <alignment horizontal="center"/>
    </xf>
    <xf numFmtId="3" fontId="5" fillId="1" borderId="18" xfId="2" applyNumberFormat="1" applyFont="1" applyFill="1" applyBorder="1" applyAlignment="1">
      <alignment horizontal="center"/>
    </xf>
    <xf numFmtId="3" fontId="5" fillId="1" borderId="19" xfId="2" applyNumberFormat="1" applyFont="1" applyFill="1" applyBorder="1" applyAlignment="1">
      <alignment horizontal="center"/>
    </xf>
    <xf numFmtId="169" fontId="6" fillId="0" borderId="0" xfId="2" applyNumberFormat="1" applyFont="1" applyBorder="1" applyAlignment="1">
      <alignment horizontal="center"/>
    </xf>
    <xf numFmtId="170" fontId="4" fillId="0" borderId="0" xfId="2" applyNumberFormat="1" applyFont="1" applyBorder="1" applyAlignment="1">
      <alignment horizontal="center"/>
    </xf>
    <xf numFmtId="3" fontId="5" fillId="1" borderId="0" xfId="2" applyNumberFormat="1" applyFont="1" applyFill="1" applyBorder="1" applyAlignment="1">
      <alignment horizontal="center"/>
    </xf>
    <xf numFmtId="167" fontId="6" fillId="0" borderId="12" xfId="2" applyNumberFormat="1" applyFont="1" applyBorder="1" applyAlignment="1">
      <alignment horizontal="right"/>
    </xf>
    <xf numFmtId="167" fontId="6" fillId="5" borderId="0" xfId="2" applyNumberFormat="1" applyFont="1" applyFill="1" applyBorder="1" applyAlignment="1">
      <alignment horizontal="right"/>
    </xf>
    <xf numFmtId="167" fontId="6" fillId="2" borderId="0" xfId="2" applyNumberFormat="1" applyFont="1" applyFill="1" applyBorder="1" applyAlignment="1">
      <alignment horizontal="right"/>
    </xf>
    <xf numFmtId="167" fontId="6" fillId="3" borderId="0" xfId="2" applyNumberFormat="1" applyFont="1" applyFill="1" applyBorder="1" applyAlignment="1">
      <alignment horizontal="right"/>
    </xf>
    <xf numFmtId="167" fontId="6" fillId="4" borderId="12" xfId="2" applyNumberFormat="1" applyFont="1" applyFill="1" applyBorder="1" applyAlignment="1">
      <alignment horizontal="right"/>
    </xf>
    <xf numFmtId="0" fontId="8" fillId="2" borderId="0" xfId="2" applyFont="1" applyFill="1" applyBorder="1"/>
    <xf numFmtId="0" fontId="4" fillId="2" borderId="0" xfId="2" applyFont="1" applyFill="1" applyBorder="1"/>
    <xf numFmtId="171" fontId="4" fillId="0" borderId="13" xfId="2" applyNumberFormat="1" applyFont="1" applyBorder="1" applyAlignment="1">
      <alignment horizontal="center"/>
    </xf>
    <xf numFmtId="0" fontId="4" fillId="0" borderId="19" xfId="2" applyFont="1" applyBorder="1"/>
    <xf numFmtId="164" fontId="6" fillId="0" borderId="16" xfId="2" applyNumberFormat="1" applyFont="1" applyBorder="1" applyAlignment="1">
      <alignment horizontal="center"/>
    </xf>
    <xf numFmtId="0" fontId="4" fillId="0" borderId="17" xfId="2" applyFont="1" applyBorder="1"/>
    <xf numFmtId="3" fontId="5" fillId="0" borderId="18" xfId="2" applyNumberFormat="1" applyFont="1" applyFill="1" applyBorder="1"/>
    <xf numFmtId="3" fontId="5" fillId="0" borderId="19" xfId="2" applyNumberFormat="1" applyFont="1" applyFill="1" applyBorder="1"/>
    <xf numFmtId="164" fontId="6" fillId="0" borderId="0" xfId="2" applyNumberFormat="1" applyFont="1" applyBorder="1" applyAlignment="1">
      <alignment horizontal="center"/>
    </xf>
    <xf numFmtId="3" fontId="5" fillId="0" borderId="0" xfId="2" applyNumberFormat="1" applyFont="1" applyFill="1" applyBorder="1"/>
    <xf numFmtId="0" fontId="5" fillId="0" borderId="18" xfId="2" applyFont="1" applyBorder="1"/>
    <xf numFmtId="167" fontId="15" fillId="5" borderId="21" xfId="2" applyNumberFormat="1" applyFont="1" applyFill="1" applyBorder="1" applyAlignment="1">
      <alignment horizontal="right"/>
    </xf>
    <xf numFmtId="0" fontId="5" fillId="0" borderId="19" xfId="2" applyFont="1" applyBorder="1"/>
    <xf numFmtId="167" fontId="14" fillId="2" borderId="21" xfId="2" applyNumberFormat="1" applyFont="1" applyFill="1" applyBorder="1" applyAlignment="1">
      <alignment horizontal="right"/>
    </xf>
    <xf numFmtId="167" fontId="14" fillId="3" borderId="21" xfId="2" applyNumberFormat="1" applyFont="1" applyFill="1" applyBorder="1" applyAlignment="1">
      <alignment horizontal="right"/>
    </xf>
    <xf numFmtId="167" fontId="14" fillId="4" borderId="21" xfId="2" applyNumberFormat="1" applyFont="1" applyFill="1" applyBorder="1" applyAlignment="1">
      <alignment horizontal="right"/>
    </xf>
    <xf numFmtId="0" fontId="4" fillId="0" borderId="22" xfId="2" applyFont="1" applyFill="1" applyBorder="1"/>
    <xf numFmtId="0" fontId="4" fillId="0" borderId="23" xfId="2" applyFont="1" applyFill="1" applyBorder="1"/>
    <xf numFmtId="164" fontId="6" fillId="0" borderId="23" xfId="2" applyNumberFormat="1" applyFont="1" applyFill="1" applyBorder="1" applyAlignment="1">
      <alignment horizontal="center"/>
    </xf>
    <xf numFmtId="0" fontId="5" fillId="0" borderId="23" xfId="2" applyFont="1" applyFill="1" applyBorder="1"/>
    <xf numFmtId="167" fontId="6" fillId="0" borderId="23" xfId="2" applyNumberFormat="1" applyFont="1" applyFill="1" applyBorder="1" applyAlignment="1">
      <alignment horizontal="right"/>
    </xf>
    <xf numFmtId="167" fontId="14" fillId="0" borderId="23" xfId="2" applyNumberFormat="1" applyFont="1" applyFill="1" applyBorder="1" applyAlignment="1">
      <alignment horizontal="right"/>
    </xf>
    <xf numFmtId="167" fontId="14" fillId="0" borderId="24" xfId="2" applyNumberFormat="1" applyFont="1" applyFill="1" applyBorder="1" applyAlignment="1">
      <alignment horizontal="right"/>
    </xf>
    <xf numFmtId="0" fontId="4" fillId="0" borderId="25" xfId="2" applyFont="1" applyFill="1" applyBorder="1"/>
    <xf numFmtId="0" fontId="8" fillId="7" borderId="0" xfId="2" applyFont="1" applyFill="1" applyBorder="1"/>
    <xf numFmtId="164" fontId="6" fillId="0" borderId="0" xfId="2" applyNumberFormat="1" applyFont="1" applyFill="1" applyBorder="1" applyAlignment="1">
      <alignment horizontal="center"/>
    </xf>
    <xf numFmtId="0" fontId="4" fillId="0" borderId="0" xfId="2" applyFont="1" applyFill="1" applyBorder="1"/>
    <xf numFmtId="0" fontId="5" fillId="0" borderId="0" xfId="2" applyFont="1" applyFill="1" applyBorder="1"/>
    <xf numFmtId="167" fontId="6" fillId="0" borderId="0" xfId="2" applyNumberFormat="1" applyFont="1" applyFill="1" applyBorder="1" applyAlignment="1">
      <alignment horizontal="right"/>
    </xf>
    <xf numFmtId="167" fontId="14" fillId="0" borderId="0" xfId="2" applyNumberFormat="1" applyFont="1" applyFill="1" applyBorder="1" applyAlignment="1">
      <alignment horizontal="right"/>
    </xf>
    <xf numFmtId="167" fontId="14" fillId="0" borderId="26" xfId="2" applyNumberFormat="1" applyFont="1" applyFill="1" applyBorder="1" applyAlignment="1">
      <alignment horizontal="right"/>
    </xf>
    <xf numFmtId="164" fontId="4" fillId="0" borderId="0" xfId="2" applyNumberFormat="1" applyFont="1" applyFill="1" applyBorder="1" applyAlignment="1">
      <alignment horizontal="center"/>
    </xf>
    <xf numFmtId="165" fontId="4" fillId="0" borderId="0" xfId="2" applyNumberFormat="1" applyFont="1" applyFill="1" applyBorder="1" applyAlignment="1">
      <alignment horizontal="center"/>
    </xf>
    <xf numFmtId="0" fontId="4" fillId="0" borderId="13" xfId="2" applyFont="1" applyFill="1" applyBorder="1"/>
    <xf numFmtId="0" fontId="5" fillId="0" borderId="13" xfId="2" applyFont="1" applyFill="1" applyBorder="1"/>
    <xf numFmtId="167" fontId="6" fillId="0" borderId="13" xfId="2" applyNumberFormat="1" applyFont="1" applyFill="1" applyBorder="1" applyAlignment="1">
      <alignment horizontal="right"/>
    </xf>
    <xf numFmtId="167" fontId="17" fillId="0" borderId="26" xfId="2" applyNumberFormat="1" applyFont="1" applyBorder="1" applyAlignment="1">
      <alignment horizontal="right"/>
    </xf>
    <xf numFmtId="164" fontId="4" fillId="0" borderId="19" xfId="2" applyNumberFormat="1" applyFont="1" applyFill="1" applyBorder="1" applyAlignment="1">
      <alignment horizontal="center"/>
    </xf>
    <xf numFmtId="165" fontId="4" fillId="0" borderId="15" xfId="2" applyNumberFormat="1" applyFont="1" applyFill="1" applyBorder="1" applyAlignment="1">
      <alignment horizontal="center"/>
    </xf>
    <xf numFmtId="3" fontId="5" fillId="0" borderId="13" xfId="2" applyNumberFormat="1" applyFont="1" applyFill="1" applyBorder="1"/>
    <xf numFmtId="166" fontId="4" fillId="0" borderId="0" xfId="2" applyNumberFormat="1" applyFont="1" applyFill="1" applyBorder="1" applyAlignment="1">
      <alignment horizontal="center"/>
    </xf>
    <xf numFmtId="167" fontId="14" fillId="5" borderId="1" xfId="2" applyNumberFormat="1" applyFont="1" applyFill="1" applyBorder="1" applyAlignment="1">
      <alignment horizontal="right"/>
    </xf>
    <xf numFmtId="167" fontId="14" fillId="4" borderId="27" xfId="2" applyNumberFormat="1" applyFont="1" applyFill="1" applyBorder="1" applyAlignment="1">
      <alignment horizontal="right"/>
    </xf>
    <xf numFmtId="0" fontId="4" fillId="0" borderId="18" xfId="2" applyFont="1" applyFill="1" applyBorder="1"/>
    <xf numFmtId="0" fontId="4" fillId="0" borderId="19" xfId="2" applyFont="1" applyFill="1" applyBorder="1"/>
    <xf numFmtId="164" fontId="6" fillId="0" borderId="19" xfId="2" applyNumberFormat="1" applyFont="1" applyFill="1" applyBorder="1" applyAlignment="1">
      <alignment horizontal="center"/>
    </xf>
    <xf numFmtId="0" fontId="5" fillId="0" borderId="19" xfId="2" applyFont="1" applyFill="1" applyBorder="1"/>
    <xf numFmtId="167" fontId="6" fillId="0" borderId="19" xfId="2" applyNumberFormat="1" applyFont="1" applyFill="1" applyBorder="1" applyAlignment="1">
      <alignment horizontal="right"/>
    </xf>
    <xf numFmtId="167" fontId="14" fillId="0" borderId="19" xfId="2" applyNumberFormat="1" applyFont="1" applyFill="1" applyBorder="1" applyAlignment="1">
      <alignment horizontal="right"/>
    </xf>
    <xf numFmtId="167" fontId="14" fillId="0" borderId="15" xfId="2" applyNumberFormat="1" applyFont="1" applyFill="1" applyBorder="1" applyAlignment="1">
      <alignment horizontal="right"/>
    </xf>
    <xf numFmtId="0" fontId="14" fillId="0" borderId="8" xfId="2" applyFont="1" applyBorder="1"/>
    <xf numFmtId="0" fontId="4" fillId="0" borderId="28" xfId="2" applyFont="1" applyBorder="1"/>
    <xf numFmtId="164" fontId="6" fillId="0" borderId="28" xfId="2" applyNumberFormat="1" applyFont="1" applyBorder="1" applyAlignment="1">
      <alignment horizontal="center"/>
    </xf>
    <xf numFmtId="0" fontId="5" fillId="0" borderId="28" xfId="2" applyFont="1" applyBorder="1"/>
    <xf numFmtId="167" fontId="18" fillId="2" borderId="1" xfId="2" applyNumberFormat="1" applyFont="1" applyFill="1" applyBorder="1" applyAlignment="1">
      <alignment horizontal="right"/>
    </xf>
    <xf numFmtId="167" fontId="18" fillId="3" borderId="1" xfId="2" applyNumberFormat="1" applyFont="1" applyFill="1" applyBorder="1" applyAlignment="1">
      <alignment horizontal="right"/>
    </xf>
    <xf numFmtId="167" fontId="18" fillId="4" borderId="1" xfId="2" applyNumberFormat="1" applyFont="1" applyFill="1" applyBorder="1" applyAlignment="1">
      <alignment horizontal="right"/>
    </xf>
    <xf numFmtId="167" fontId="6" fillId="0" borderId="12" xfId="2" applyNumberFormat="1" applyFont="1" applyFill="1" applyBorder="1" applyAlignment="1">
      <alignment horizontal="right"/>
    </xf>
    <xf numFmtId="167" fontId="6" fillId="5" borderId="1" xfId="2" applyNumberFormat="1" applyFont="1" applyFill="1" applyBorder="1" applyAlignment="1">
      <alignment horizontal="right"/>
    </xf>
    <xf numFmtId="167" fontId="6" fillId="2" borderId="1" xfId="2" applyNumberFormat="1" applyFont="1" applyFill="1" applyBorder="1" applyAlignment="1">
      <alignment horizontal="right"/>
    </xf>
    <xf numFmtId="167" fontId="6" fillId="3" borderId="1" xfId="2" applyNumberFormat="1" applyFont="1" applyFill="1" applyBorder="1" applyAlignment="1">
      <alignment horizontal="right"/>
    </xf>
    <xf numFmtId="167" fontId="6" fillId="4" borderId="1" xfId="2" applyNumberFormat="1" applyFont="1" applyFill="1" applyBorder="1" applyAlignment="1">
      <alignment horizontal="right"/>
    </xf>
    <xf numFmtId="0" fontId="8" fillId="0" borderId="0" xfId="2" applyFont="1" applyBorder="1" applyAlignment="1">
      <alignment horizontal="center"/>
    </xf>
    <xf numFmtId="0" fontId="20" fillId="0" borderId="0" xfId="2" applyFont="1" applyBorder="1" applyAlignment="1">
      <alignment horizontal="center"/>
    </xf>
    <xf numFmtId="3" fontId="6" fillId="0" borderId="13" xfId="2" applyNumberFormat="1" applyFont="1" applyBorder="1" applyAlignment="1">
      <alignment horizontal="center"/>
    </xf>
    <xf numFmtId="3" fontId="6" fillId="2" borderId="13" xfId="2" applyNumberFormat="1" applyFont="1" applyFill="1" applyBorder="1" applyAlignment="1">
      <alignment horizontal="center"/>
    </xf>
    <xf numFmtId="3" fontId="5" fillId="0" borderId="13" xfId="2" applyNumberFormat="1" applyFont="1" applyBorder="1" applyAlignment="1">
      <alignment horizontal="center"/>
    </xf>
    <xf numFmtId="3" fontId="5" fillId="0" borderId="18" xfId="2" applyNumberFormat="1" applyFont="1" applyBorder="1" applyAlignment="1">
      <alignment horizontal="center"/>
    </xf>
    <xf numFmtId="3" fontId="5" fillId="0" borderId="19" xfId="2" applyNumberFormat="1" applyFont="1" applyBorder="1" applyAlignment="1">
      <alignment horizontal="center"/>
    </xf>
    <xf numFmtId="3" fontId="5" fillId="0" borderId="0" xfId="2" applyNumberFormat="1" applyFont="1" applyBorder="1" applyAlignment="1">
      <alignment horizontal="center"/>
    </xf>
    <xf numFmtId="0" fontId="23" fillId="0" borderId="2" xfId="2" applyFont="1" applyBorder="1"/>
    <xf numFmtId="0" fontId="18" fillId="0" borderId="3" xfId="2" applyFont="1" applyBorder="1" applyAlignment="1">
      <alignment horizontal="right"/>
    </xf>
    <xf numFmtId="164" fontId="18" fillId="0" borderId="29" xfId="2" applyNumberFormat="1" applyFont="1" applyBorder="1" applyAlignment="1">
      <alignment horizontal="center"/>
    </xf>
    <xf numFmtId="0" fontId="23" fillId="0" borderId="29" xfId="2" applyFont="1" applyBorder="1"/>
    <xf numFmtId="0" fontId="24" fillId="0" borderId="29" xfId="2" applyFont="1" applyBorder="1"/>
    <xf numFmtId="167" fontId="18" fillId="5" borderId="29" xfId="2" applyNumberFormat="1" applyFont="1" applyFill="1" applyBorder="1" applyAlignment="1">
      <alignment horizontal="right"/>
    </xf>
    <xf numFmtId="167" fontId="18" fillId="2" borderId="29" xfId="2" applyNumberFormat="1" applyFont="1" applyFill="1" applyBorder="1" applyAlignment="1">
      <alignment horizontal="right"/>
    </xf>
    <xf numFmtId="167" fontId="18" fillId="3" borderId="29" xfId="2" applyNumberFormat="1" applyFont="1" applyFill="1" applyBorder="1" applyAlignment="1">
      <alignment horizontal="right"/>
    </xf>
    <xf numFmtId="167" fontId="18" fillId="4" borderId="30" xfId="2" applyNumberFormat="1" applyFont="1" applyFill="1" applyBorder="1" applyAlignment="1">
      <alignment horizontal="right"/>
    </xf>
    <xf numFmtId="0" fontId="23" fillId="0" borderId="0" xfId="3" applyFont="1"/>
    <xf numFmtId="0" fontId="23" fillId="0" borderId="0" xfId="0" applyFont="1"/>
    <xf numFmtId="0" fontId="5" fillId="0" borderId="2" xfId="2" applyFont="1" applyBorder="1"/>
    <xf numFmtId="0" fontId="25" fillId="0" borderId="3" xfId="2" applyFont="1" applyBorder="1"/>
    <xf numFmtId="0" fontId="4" fillId="0" borderId="11" xfId="3" applyFont="1" applyBorder="1"/>
    <xf numFmtId="0" fontId="4" fillId="0" borderId="0" xfId="3" applyFont="1" applyBorder="1"/>
    <xf numFmtId="0" fontId="5" fillId="0" borderId="0" xfId="3" applyFont="1" applyBorder="1"/>
    <xf numFmtId="167" fontId="4" fillId="0" borderId="0" xfId="3" applyNumberFormat="1" applyFont="1" applyBorder="1" applyAlignment="1">
      <alignment horizontal="right"/>
    </xf>
    <xf numFmtId="167" fontId="4" fillId="0" borderId="12" xfId="3" applyNumberFormat="1" applyFont="1" applyBorder="1" applyAlignment="1">
      <alignment horizontal="right"/>
    </xf>
    <xf numFmtId="0" fontId="26" fillId="0" borderId="11" xfId="2" applyFont="1" applyBorder="1"/>
    <xf numFmtId="0" fontId="6" fillId="0" borderId="1" xfId="2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0" fontId="6" fillId="2" borderId="1" xfId="2" applyFont="1" applyFill="1" applyBorder="1" applyAlignment="1">
      <alignment horizontal="center"/>
    </xf>
    <xf numFmtId="0" fontId="6" fillId="0" borderId="2" xfId="2" applyFont="1" applyBorder="1"/>
    <xf numFmtId="0" fontId="6" fillId="0" borderId="21" xfId="2" applyFont="1" applyBorder="1" applyAlignment="1">
      <alignment horizontal="center"/>
    </xf>
    <xf numFmtId="0" fontId="5" fillId="0" borderId="31" xfId="2" applyFont="1" applyBorder="1"/>
    <xf numFmtId="167" fontId="14" fillId="0" borderId="7" xfId="2" applyNumberFormat="1" applyFont="1" applyBorder="1" applyAlignment="1">
      <alignment horizontal="center"/>
    </xf>
    <xf numFmtId="167" fontId="14" fillId="0" borderId="7" xfId="2" applyNumberFormat="1" applyFont="1" applyBorder="1" applyAlignment="1">
      <alignment horizontal="center" wrapText="1"/>
    </xf>
    <xf numFmtId="0" fontId="4" fillId="0" borderId="32" xfId="2" applyFont="1" applyBorder="1"/>
    <xf numFmtId="0" fontId="4" fillId="0" borderId="20" xfId="2" applyFont="1" applyBorder="1"/>
    <xf numFmtId="169" fontId="4" fillId="0" borderId="11" xfId="2" applyNumberFormat="1" applyFont="1" applyBorder="1"/>
    <xf numFmtId="169" fontId="4" fillId="0" borderId="33" xfId="2" applyNumberFormat="1" applyFont="1" applyBorder="1"/>
    <xf numFmtId="3" fontId="5" fillId="0" borderId="0" xfId="2" applyNumberFormat="1" applyFont="1" applyBorder="1"/>
    <xf numFmtId="167" fontId="4" fillId="0" borderId="34" xfId="2" applyNumberFormat="1" applyFont="1" applyBorder="1" applyAlignment="1">
      <alignment horizontal="right"/>
    </xf>
    <xf numFmtId="164" fontId="4" fillId="0" borderId="32" xfId="2" applyNumberFormat="1" applyFont="1" applyFill="1" applyBorder="1" applyAlignment="1">
      <alignment horizontal="center"/>
    </xf>
    <xf numFmtId="164" fontId="4" fillId="0" borderId="13" xfId="2" applyNumberFormat="1" applyFont="1" applyFill="1" applyBorder="1" applyAlignment="1">
      <alignment horizontal="center"/>
    </xf>
    <xf numFmtId="169" fontId="6" fillId="0" borderId="20" xfId="2" applyNumberFormat="1" applyFont="1" applyBorder="1" applyAlignment="1">
      <alignment horizontal="center"/>
    </xf>
    <xf numFmtId="169" fontId="4" fillId="0" borderId="11" xfId="2" applyNumberFormat="1" applyFont="1" applyBorder="1" applyAlignment="1">
      <alignment horizontal="center"/>
    </xf>
    <xf numFmtId="169" fontId="4" fillId="0" borderId="33" xfId="3" applyNumberFormat="1" applyFont="1" applyBorder="1" applyAlignment="1">
      <alignment horizontal="left"/>
    </xf>
    <xf numFmtId="164" fontId="4" fillId="0" borderId="32" xfId="2" applyNumberFormat="1" applyFont="1" applyBorder="1" applyAlignment="1">
      <alignment horizontal="center"/>
    </xf>
    <xf numFmtId="169" fontId="4" fillId="0" borderId="20" xfId="2" applyNumberFormat="1" applyFont="1" applyBorder="1" applyAlignment="1">
      <alignment horizontal="center"/>
    </xf>
    <xf numFmtId="169" fontId="4" fillId="0" borderId="33" xfId="3" applyNumberFormat="1" applyFont="1" applyBorder="1"/>
    <xf numFmtId="164" fontId="4" fillId="0" borderId="35" xfId="2" applyNumberFormat="1" applyFont="1" applyBorder="1" applyAlignment="1">
      <alignment horizontal="center"/>
    </xf>
    <xf numFmtId="169" fontId="4" fillId="0" borderId="17" xfId="2" applyNumberFormat="1" applyFont="1" applyBorder="1" applyAlignment="1">
      <alignment horizontal="center"/>
    </xf>
    <xf numFmtId="169" fontId="6" fillId="0" borderId="36" xfId="2" applyNumberFormat="1" applyFont="1" applyBorder="1" applyAlignment="1">
      <alignment horizontal="center"/>
    </xf>
    <xf numFmtId="167" fontId="4" fillId="0" borderId="17" xfId="2" applyNumberFormat="1" applyFont="1" applyBorder="1" applyAlignment="1">
      <alignment horizontal="right"/>
    </xf>
    <xf numFmtId="167" fontId="14" fillId="5" borderId="10" xfId="2" applyNumberFormat="1" applyFont="1" applyFill="1" applyBorder="1" applyAlignment="1">
      <alignment horizontal="right"/>
    </xf>
    <xf numFmtId="167" fontId="18" fillId="2" borderId="10" xfId="2" applyNumberFormat="1" applyFont="1" applyFill="1" applyBorder="1" applyAlignment="1">
      <alignment horizontal="right"/>
    </xf>
    <xf numFmtId="167" fontId="18" fillId="3" borderId="10" xfId="2" applyNumberFormat="1" applyFont="1" applyFill="1" applyBorder="1" applyAlignment="1">
      <alignment horizontal="right"/>
    </xf>
    <xf numFmtId="167" fontId="18" fillId="4" borderId="10" xfId="2" applyNumberFormat="1" applyFont="1" applyFill="1" applyBorder="1" applyAlignment="1">
      <alignment horizontal="right"/>
    </xf>
    <xf numFmtId="172" fontId="4" fillId="0" borderId="20" xfId="2" applyNumberFormat="1" applyFont="1" applyBorder="1" applyAlignment="1">
      <alignment horizontal="center"/>
    </xf>
    <xf numFmtId="172" fontId="4" fillId="0" borderId="11" xfId="2" applyNumberFormat="1" applyFont="1" applyBorder="1" applyAlignment="1">
      <alignment horizontal="center"/>
    </xf>
    <xf numFmtId="3" fontId="5" fillId="0" borderId="26" xfId="2" applyNumberFormat="1" applyFont="1" applyBorder="1"/>
    <xf numFmtId="167" fontId="14" fillId="0" borderId="1" xfId="2" applyNumberFormat="1" applyFont="1" applyBorder="1" applyAlignment="1">
      <alignment horizontal="right"/>
    </xf>
    <xf numFmtId="3" fontId="25" fillId="0" borderId="3" xfId="2" applyNumberFormat="1" applyFont="1" applyBorder="1"/>
    <xf numFmtId="169" fontId="14" fillId="4" borderId="37" xfId="2" applyNumberFormat="1" applyFont="1" applyFill="1" applyBorder="1" applyAlignment="1">
      <alignment horizontal="center"/>
    </xf>
    <xf numFmtId="169" fontId="14" fillId="5" borderId="38" xfId="2" applyNumberFormat="1" applyFont="1" applyFill="1" applyBorder="1" applyAlignment="1">
      <alignment horizontal="center"/>
    </xf>
    <xf numFmtId="169" fontId="14" fillId="2" borderId="1" xfId="2" applyNumberFormat="1" applyFont="1" applyFill="1" applyBorder="1" applyAlignment="1">
      <alignment horizontal="center"/>
    </xf>
    <xf numFmtId="169" fontId="6" fillId="0" borderId="2" xfId="2" applyNumberFormat="1" applyFont="1" applyBorder="1" applyAlignment="1">
      <alignment horizontal="center"/>
    </xf>
    <xf numFmtId="169" fontId="6" fillId="0" borderId="1" xfId="2" applyNumberFormat="1" applyFont="1" applyBorder="1" applyAlignment="1">
      <alignment horizontal="center"/>
    </xf>
    <xf numFmtId="3" fontId="5" fillId="0" borderId="28" xfId="2" applyNumberFormat="1" applyFont="1" applyBorder="1"/>
    <xf numFmtId="167" fontId="27" fillId="2" borderId="10" xfId="2" applyNumberFormat="1" applyFont="1" applyFill="1" applyBorder="1" applyAlignment="1">
      <alignment horizontal="right"/>
    </xf>
    <xf numFmtId="167" fontId="27" fillId="3" borderId="10" xfId="2" applyNumberFormat="1" applyFont="1" applyFill="1" applyBorder="1" applyAlignment="1">
      <alignment horizontal="right"/>
    </xf>
    <xf numFmtId="167" fontId="27" fillId="4" borderId="10" xfId="2" applyNumberFormat="1" applyFont="1" applyFill="1" applyBorder="1" applyAlignment="1">
      <alignment horizontal="right"/>
    </xf>
    <xf numFmtId="164" fontId="6" fillId="0" borderId="0" xfId="2" applyNumberFormat="1" applyFont="1"/>
    <xf numFmtId="164" fontId="6" fillId="0" borderId="0" xfId="2" applyNumberFormat="1" applyFont="1" applyFill="1"/>
    <xf numFmtId="168" fontId="4" fillId="0" borderId="0" xfId="5" applyNumberFormat="1" applyFont="1"/>
    <xf numFmtId="168" fontId="4" fillId="0" borderId="0" xfId="5" applyFont="1"/>
    <xf numFmtId="169" fontId="14" fillId="2" borderId="1" xfId="3" applyNumberFormat="1" applyFont="1" applyFill="1" applyBorder="1"/>
    <xf numFmtId="164" fontId="4" fillId="0" borderId="0" xfId="3" applyNumberFormat="1" applyFont="1" applyFill="1"/>
    <xf numFmtId="0" fontId="28" fillId="0" borderId="0" xfId="3" applyFont="1" applyAlignment="1">
      <alignment horizontal="center"/>
    </xf>
    <xf numFmtId="173" fontId="18" fillId="2" borderId="1" xfId="1" applyNumberFormat="1" applyFont="1" applyFill="1" applyBorder="1"/>
    <xf numFmtId="173" fontId="18" fillId="3" borderId="1" xfId="1" applyNumberFormat="1" applyFont="1" applyFill="1" applyBorder="1"/>
    <xf numFmtId="173" fontId="14" fillId="4" borderId="1" xfId="1" applyNumberFormat="1" applyFont="1" applyFill="1" applyBorder="1"/>
    <xf numFmtId="169" fontId="6" fillId="0" borderId="0" xfId="3" applyNumberFormat="1" applyFont="1"/>
    <xf numFmtId="173" fontId="14" fillId="4" borderId="9" xfId="1" applyNumberFormat="1" applyFont="1" applyFill="1" applyBorder="1"/>
    <xf numFmtId="164" fontId="6" fillId="5" borderId="1" xfId="3" applyNumberFormat="1" applyFont="1" applyFill="1" applyBorder="1"/>
    <xf numFmtId="164" fontId="14" fillId="0" borderId="0" xfId="3" applyNumberFormat="1" applyFont="1" applyFill="1"/>
    <xf numFmtId="0" fontId="6" fillId="0" borderId="1" xfId="3" applyFont="1" applyBorder="1" applyAlignment="1">
      <alignment horizontal="center"/>
    </xf>
    <xf numFmtId="0" fontId="6" fillId="0" borderId="9" xfId="3" applyFont="1" applyBorder="1" applyAlignment="1">
      <alignment horizontal="center"/>
    </xf>
    <xf numFmtId="0" fontId="29" fillId="0" borderId="0" xfId="2" applyFont="1" applyFill="1" applyBorder="1"/>
    <xf numFmtId="169" fontId="6" fillId="2" borderId="1" xfId="3" applyNumberFormat="1" applyFont="1" applyFill="1" applyBorder="1"/>
    <xf numFmtId="164" fontId="30" fillId="0" borderId="0" xfId="3" applyNumberFormat="1" applyFont="1" applyFill="1"/>
    <xf numFmtId="0" fontId="11" fillId="2" borderId="2" xfId="2" applyFont="1" applyFill="1" applyBorder="1" applyAlignment="1">
      <alignment horizontal="center"/>
    </xf>
    <xf numFmtId="0" fontId="11" fillId="2" borderId="3" xfId="2" applyFont="1" applyFill="1" applyBorder="1" applyAlignment="1">
      <alignment horizontal="center"/>
    </xf>
    <xf numFmtId="0" fontId="11" fillId="2" borderId="4" xfId="2" applyFont="1" applyFill="1" applyBorder="1" applyAlignment="1">
      <alignment horizontal="center"/>
    </xf>
    <xf numFmtId="44" fontId="6" fillId="2" borderId="2" xfId="4" applyFont="1" applyFill="1" applyBorder="1" applyAlignment="1">
      <alignment horizontal="center" vertical="center"/>
    </xf>
    <xf numFmtId="44" fontId="6" fillId="2" borderId="3" xfId="4" applyFont="1" applyFill="1" applyBorder="1" applyAlignment="1">
      <alignment horizontal="center" vertical="center"/>
    </xf>
    <xf numFmtId="44" fontId="6" fillId="2" borderId="4" xfId="4" applyFont="1" applyFill="1" applyBorder="1" applyAlignment="1">
      <alignment horizontal="center" vertical="center"/>
    </xf>
    <xf numFmtId="0" fontId="19" fillId="0" borderId="0" xfId="2" applyFont="1" applyBorder="1" applyAlignment="1">
      <alignment horizontal="center" vertical="center"/>
    </xf>
    <xf numFmtId="0" fontId="19" fillId="0" borderId="0" xfId="3" applyFont="1" applyBorder="1" applyAlignment="1">
      <alignment horizontal="center" vertical="center"/>
    </xf>
    <xf numFmtId="169" fontId="6" fillId="0" borderId="0" xfId="2" applyNumberFormat="1" applyFont="1" applyAlignment="1">
      <alignment horizontal="center"/>
    </xf>
    <xf numFmtId="0" fontId="6" fillId="2" borderId="2" xfId="2" applyFont="1" applyFill="1" applyBorder="1" applyAlignment="1">
      <alignment horizontal="center"/>
    </xf>
    <xf numFmtId="0" fontId="6" fillId="2" borderId="4" xfId="2" applyFont="1" applyFill="1" applyBorder="1" applyAlignment="1">
      <alignment horizontal="center"/>
    </xf>
  </cellXfs>
  <cellStyles count="6">
    <cellStyle name="Milliers 4 2" xfId="5" xr:uid="{00000000-0005-0000-0000-000000000000}"/>
    <cellStyle name="Monétaire 3 2" xfId="4" xr:uid="{00000000-0005-0000-0000-000001000000}"/>
    <cellStyle name="Normal" xfId="0" builtinId="0"/>
    <cellStyle name="Normal 2 2" xfId="3" xr:uid="{00000000-0005-0000-0000-000003000000}"/>
    <cellStyle name="Normal_FERMRAV" xfId="2" xr:uid="{00000000-0005-0000-0000-000004000000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31\userdata\sbuelyha\CLIENTS\CLIENTS\SAS%20PARENT%20DOMAINE\N&#176;568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elin/AppData/Local/Microsoft/Windows/Temporary%20Internet%20Files/Content.Outlook/0C106AOR/N&#176;568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c-srv31\userdata\sbuelyha\Documents\CLIENTS\CLIENTS\SAS%20PARENT%20DOMAINE\DOMAINE%20PARENT%2008-2021\BILAN%2008-2021-DOMAINE%20PARENT.xlsx%20CA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 Cong 2007"/>
      <sheetName val="CTRLCAF2006 (01-08)"/>
      <sheetName val="CTRLCAF2006 (09-12)"/>
      <sheetName val="CTRLCAF2006-2007"/>
      <sheetName val="CTRLCAF2007 01 à 08"/>
      <sheetName val="CTRLCAF2007 08 à 12"/>
      <sheetName val="CTRLCAF2006 (08-12)"/>
      <sheetName val="I.Sté 2005"/>
      <sheetName val="gfa ps"/>
      <sheetName val="STKVINS2002"/>
      <sheetName val="STKVINS 2003"/>
      <sheetName val="STKVINS 2008"/>
      <sheetName val="STKVINS 2007"/>
      <sheetName val="STKVINS 2006"/>
      <sheetName val="STKVINS 2005"/>
      <sheetName val="STKVINS 2004"/>
      <sheetName val="Feuil1"/>
      <sheetName val="VARSTOCK 2008"/>
      <sheetName val="VARSTOCK 2007"/>
      <sheetName val="VARSTOCK 2006"/>
      <sheetName val="VARSTOCK 05"/>
      <sheetName val="PROVSAEX"/>
      <sheetName val="PROVdep°04"/>
      <sheetName val="PROVdep°05"/>
      <sheetName val="PROVdep° 06"/>
      <sheetName val="PROVdep° 07"/>
      <sheetName val="PROVdep° 08"/>
      <sheetName val="PROVbouchonnés (2)"/>
      <sheetName val="PROVbouchnés 06"/>
      <sheetName val="PPHP2001"/>
      <sheetName val="pphp"/>
      <sheetName val="pphp2004"/>
      <sheetName val="pphp2007"/>
      <sheetName val="cac5681"/>
      <sheetName val="avce Récol 02"/>
      <sheetName val="avce Récol2003"/>
      <sheetName val="avce Récol2004"/>
      <sheetName val="avce Récol2005"/>
      <sheetName val="avce Récol2006"/>
      <sheetName val="avce Récol2007"/>
      <sheetName val="avce Récol2008"/>
      <sheetName val="UTIMATOS"/>
      <sheetName val="FERMAGErec01"/>
      <sheetName val="FERMAGErec02"/>
      <sheetName val="FERMAGErec03"/>
      <sheetName val="FERMAGErec2004"/>
      <sheetName val="FERMAGErec2005"/>
      <sheetName val="FERMAGErec2006"/>
      <sheetName val="FERMAGErec2007"/>
      <sheetName val="CHARG ferm 03-04"/>
      <sheetName val="CHARG ferm04-05"/>
      <sheetName val="CHARG ferm05-06"/>
      <sheetName val="CHARG ferm06-07"/>
      <sheetName val="CHARG ferm07 - 08"/>
      <sheetName val="TFPARENT"/>
      <sheetName val="REPARsal2003"/>
      <sheetName val="REPSAL2005A"/>
      <sheetName val="REPSAL2006A"/>
      <sheetName val="REPSAL2005B"/>
      <sheetName val="REPSAL2007A"/>
      <sheetName val="REPSAL2006B"/>
      <sheetName val="REPSAL2007B"/>
      <sheetName val="REPSAL2008B"/>
      <sheetName val="REPAsal2003"/>
      <sheetName val="REPARsal2004(A)"/>
      <sheetName val="REPAsal2004(B)"/>
      <sheetName val="VENTAM2007"/>
      <sheetName val="CPTECOUR"/>
      <sheetName val="VARCHGES"/>
      <sheetName val="CompRes"/>
      <sheetName val="CompRes2008"/>
      <sheetName val="CompRes2007"/>
      <sheetName val="CALCUL,IS"/>
      <sheetName val="CALCUL,IS (2)"/>
      <sheetName val="I.sté"/>
      <sheetName val="DIVIDENDES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8">
          <cell r="B8">
            <v>5681</v>
          </cell>
        </row>
        <row r="19">
          <cell r="E19">
            <v>16125</v>
          </cell>
        </row>
        <row r="20">
          <cell r="E20">
            <v>6444</v>
          </cell>
        </row>
        <row r="21">
          <cell r="E21">
            <v>70534</v>
          </cell>
        </row>
        <row r="22">
          <cell r="E22">
            <v>154171</v>
          </cell>
        </row>
        <row r="23">
          <cell r="E23">
            <v>294072</v>
          </cell>
        </row>
        <row r="24">
          <cell r="E24">
            <v>4006</v>
          </cell>
        </row>
        <row r="25">
          <cell r="E25">
            <v>10068</v>
          </cell>
        </row>
        <row r="26">
          <cell r="E26">
            <v>18076</v>
          </cell>
        </row>
        <row r="28">
          <cell r="E28">
            <v>6999</v>
          </cell>
        </row>
        <row r="29">
          <cell r="E29">
            <v>11307</v>
          </cell>
        </row>
        <row r="30">
          <cell r="E30">
            <v>22086</v>
          </cell>
        </row>
        <row r="45">
          <cell r="E45">
            <v>1217746</v>
          </cell>
        </row>
        <row r="46">
          <cell r="E46">
            <v>32506</v>
          </cell>
        </row>
        <row r="47">
          <cell r="E47">
            <v>118220</v>
          </cell>
        </row>
        <row r="48">
          <cell r="E48">
            <v>932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 Cong 2007"/>
      <sheetName val="CTRLCAF2006 (01-08)"/>
      <sheetName val="CTRLCAF2006 (09-12)"/>
      <sheetName val="CTRLCAF2006-2007"/>
      <sheetName val="CTRLCAF2007 01 à 08"/>
      <sheetName val="CTRLCAF2007 08 à 12"/>
      <sheetName val="CTRLCAF2006 (08-12)"/>
      <sheetName val="I.Sté 2005"/>
      <sheetName val="gfa ps"/>
      <sheetName val="STKVINS2002"/>
      <sheetName val="STKVINS 2003"/>
      <sheetName val="STKVINS 2008"/>
      <sheetName val="STKVINS 2007"/>
      <sheetName val="STKVINS 2006"/>
      <sheetName val="STKVINS 2005"/>
      <sheetName val="STKVINS 2004"/>
      <sheetName val="Feuil1"/>
      <sheetName val="VARSTOCK 2008"/>
      <sheetName val="VARSTOCK 2007"/>
      <sheetName val="VARSTOCK 2006"/>
      <sheetName val="VARSTOCK 05"/>
      <sheetName val="PROVSAEX"/>
      <sheetName val="PROVdep°04"/>
      <sheetName val="PROVdep°05"/>
      <sheetName val="PROVdep° 06"/>
      <sheetName val="PROVdep° 07"/>
      <sheetName val="PROVdep° 08"/>
      <sheetName val="PROVbouchonnés (2)"/>
      <sheetName val="PROVbouchnés 06"/>
      <sheetName val="PPHP2001"/>
      <sheetName val="pphp"/>
      <sheetName val="pphp2004"/>
      <sheetName val="pphp2007"/>
      <sheetName val="cac5681"/>
      <sheetName val="avce Récol 02"/>
      <sheetName val="avce Récol2003"/>
      <sheetName val="avce Récol2004"/>
      <sheetName val="avce Récol2005"/>
      <sheetName val="avce Récol2006"/>
      <sheetName val="avce Récol2007"/>
      <sheetName val="avce Récol2008"/>
      <sheetName val="UTIMATOS"/>
      <sheetName val="FERMAGErec01"/>
      <sheetName val="FERMAGErec02"/>
      <sheetName val="FERMAGErec03"/>
      <sheetName val="FERMAGErec2004"/>
      <sheetName val="FERMAGErec2005"/>
      <sheetName val="FERMAGErec2006"/>
      <sheetName val="FERMAGErec2007"/>
      <sheetName val="CHARG ferm 03-04"/>
      <sheetName val="CHARG ferm04-05"/>
      <sheetName val="CHARG ferm05-06"/>
      <sheetName val="CHARG ferm06-07"/>
      <sheetName val="CHARG ferm07 - 08"/>
      <sheetName val="TFPARENT"/>
      <sheetName val="REPARsal2003"/>
      <sheetName val="REPSAL2005A"/>
      <sheetName val="REPSAL2006A"/>
      <sheetName val="REPSAL2005B"/>
      <sheetName val="REPSAL2007A"/>
      <sheetName val="REPSAL2006B"/>
      <sheetName val="REPSAL2007B"/>
      <sheetName val="REPSAL2008B"/>
      <sheetName val="REPAsal2003"/>
      <sheetName val="REPARsal2004(A)"/>
      <sheetName val="REPAsal2004(B)"/>
      <sheetName val="VENTAM2007"/>
      <sheetName val="CPTECOUR"/>
      <sheetName val="VARCHGES"/>
      <sheetName val="CompRes"/>
      <sheetName val="CompRes2008"/>
      <sheetName val="CompRes2007"/>
      <sheetName val="CALCUL,IS"/>
      <sheetName val="CALCUL,IS (2)"/>
      <sheetName val="I.sté"/>
      <sheetName val="DIVIDENDES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8">
          <cell r="B8">
            <v>5681</v>
          </cell>
        </row>
        <row r="19">
          <cell r="E19">
            <v>16125</v>
          </cell>
        </row>
        <row r="20">
          <cell r="E20">
            <v>6444</v>
          </cell>
        </row>
        <row r="21">
          <cell r="E21">
            <v>70534</v>
          </cell>
        </row>
        <row r="22">
          <cell r="E22">
            <v>154171</v>
          </cell>
        </row>
        <row r="23">
          <cell r="E23">
            <v>294072</v>
          </cell>
        </row>
        <row r="24">
          <cell r="E24">
            <v>4006</v>
          </cell>
        </row>
        <row r="25">
          <cell r="E25">
            <v>10068</v>
          </cell>
        </row>
        <row r="26">
          <cell r="E26">
            <v>18076</v>
          </cell>
        </row>
        <row r="28">
          <cell r="E28">
            <v>6999</v>
          </cell>
        </row>
        <row r="29">
          <cell r="E29">
            <v>11307</v>
          </cell>
        </row>
        <row r="30">
          <cell r="E30">
            <v>22086</v>
          </cell>
        </row>
        <row r="45">
          <cell r="E45">
            <v>1217746</v>
          </cell>
        </row>
        <row r="46">
          <cell r="E46">
            <v>32506</v>
          </cell>
        </row>
        <row r="47">
          <cell r="E47">
            <v>118220</v>
          </cell>
        </row>
        <row r="48">
          <cell r="E48">
            <v>932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CHIFFRES SIGNIFICATIFS"/>
      <sheetName val="RESULTAT FISCAL"/>
      <sheetName val="CI"/>
      <sheetName val="QP ND LEASING"/>
      <sheetName val="DISTRIBUTION DIVIDENDES"/>
      <sheetName val="IND GRELE-13-14"/>
      <sheetName val="IND-GRELE-2019"/>
      <sheetName val="recap PLANTATIONS"/>
      <sheetName val="POMMARD NOIZONS-2020"/>
      <sheetName val="POMMARD LORMES"/>
      <sheetName val="SURFACES"/>
      <sheetName val="FERM-REELS-2019"/>
      <sheetName val="FERM-REELS-2020"/>
      <sheetName val="RECAP FERMAGES"/>
      <sheetName val="RECAP FERMAGES (2)"/>
      <sheetName val="CA12"/>
      <sheetName val="STOCKS MP"/>
      <sheetName val="RECOLTE"/>
      <sheetName val="CONT-STOCK"/>
      <sheetName val="RECAP SORTIES"/>
      <sheetName val="CONT-VENTES"/>
      <sheetName val="STOCK-ANTERIEURS"/>
      <sheetName val="STOCK-MILL"/>
      <sheetName val="DEPRE STK"/>
      <sheetName val="recap-STOCKS"/>
      <sheetName val="AV-AUX-CULT"/>
      <sheetName val="PRIMES"/>
      <sheetName val="PROV 13EME MOIS"/>
      <sheetName val="litige ALABEURTHE 2019"/>
      <sheetName val="LITIGE ALABEURTHE 2020"/>
      <sheetName val="LITIGE ALABEURTHE 2021"/>
      <sheetName val="REPART SALAIRE"/>
      <sheetName val="BASES-REFACT"/>
      <sheetName val="REFACT DOM-NEG"/>
      <sheetName val="REFACT-NEG-DOM"/>
      <sheetName val="REFACT DOM-MRJP"/>
    </sheetNames>
    <sheetDataSet>
      <sheetData sheetId="0">
        <row r="2">
          <cell r="B2">
            <v>44439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1">
          <cell r="F21">
            <v>1312</v>
          </cell>
        </row>
        <row r="24">
          <cell r="F24">
            <v>1325</v>
          </cell>
        </row>
        <row r="50">
          <cell r="E50">
            <v>4070</v>
          </cell>
        </row>
        <row r="59">
          <cell r="C59">
            <v>301</v>
          </cell>
        </row>
        <row r="60">
          <cell r="C60">
            <v>934</v>
          </cell>
        </row>
        <row r="61">
          <cell r="C61">
            <v>1324</v>
          </cell>
        </row>
        <row r="62">
          <cell r="C62">
            <v>3552</v>
          </cell>
        </row>
        <row r="63">
          <cell r="C63">
            <v>3507</v>
          </cell>
        </row>
        <row r="64">
          <cell r="C64">
            <v>10930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N97"/>
  <sheetViews>
    <sheetView tabSelected="1" zoomScaleNormal="100" workbookViewId="0">
      <selection activeCell="O81" sqref="O81"/>
    </sheetView>
  </sheetViews>
  <sheetFormatPr baseColWidth="10" defaultRowHeight="13.5" x14ac:dyDescent="0.25"/>
  <cols>
    <col min="1" max="1" width="11.42578125" style="7"/>
    <col min="2" max="2" width="37.140625" style="7" customWidth="1"/>
    <col min="3" max="3" width="13.42578125" style="7" bestFit="1" customWidth="1"/>
    <col min="4" max="4" width="14.140625" style="7" bestFit="1" customWidth="1"/>
    <col min="5" max="5" width="14" style="7" bestFit="1" customWidth="1"/>
    <col min="6" max="6" width="11.42578125" style="7"/>
    <col min="7" max="7" width="21.5703125" style="7" bestFit="1" customWidth="1"/>
    <col min="8" max="8" width="11.42578125" style="7"/>
    <col min="9" max="9" width="22.28515625" style="7" bestFit="1" customWidth="1"/>
    <col min="10" max="10" width="11.42578125" style="7"/>
    <col min="11" max="13" width="21" style="7" bestFit="1" customWidth="1"/>
    <col min="14" max="256" width="11.42578125" style="7"/>
    <col min="257" max="257" width="15.85546875" style="7" bestFit="1" customWidth="1"/>
    <col min="258" max="262" width="11.42578125" style="7"/>
    <col min="263" max="263" width="19.85546875" style="7" bestFit="1" customWidth="1"/>
    <col min="264" max="264" width="11.42578125" style="7"/>
    <col min="265" max="265" width="14.140625" style="7" bestFit="1" customWidth="1"/>
    <col min="266" max="266" width="11.42578125" style="7"/>
    <col min="267" max="267" width="16.85546875" style="7" bestFit="1" customWidth="1"/>
    <col min="268" max="268" width="11.42578125" style="7"/>
    <col min="269" max="269" width="17.28515625" style="7" bestFit="1" customWidth="1"/>
    <col min="270" max="512" width="11.42578125" style="7"/>
    <col min="513" max="513" width="15.85546875" style="7" bestFit="1" customWidth="1"/>
    <col min="514" max="518" width="11.42578125" style="7"/>
    <col min="519" max="519" width="19.85546875" style="7" bestFit="1" customWidth="1"/>
    <col min="520" max="520" width="11.42578125" style="7"/>
    <col min="521" max="521" width="14.140625" style="7" bestFit="1" customWidth="1"/>
    <col min="522" max="522" width="11.42578125" style="7"/>
    <col min="523" max="523" width="16.85546875" style="7" bestFit="1" customWidth="1"/>
    <col min="524" max="524" width="11.42578125" style="7"/>
    <col min="525" max="525" width="17.28515625" style="7" bestFit="1" customWidth="1"/>
    <col min="526" max="768" width="11.42578125" style="7"/>
    <col min="769" max="769" width="15.85546875" style="7" bestFit="1" customWidth="1"/>
    <col min="770" max="774" width="11.42578125" style="7"/>
    <col min="775" max="775" width="19.85546875" style="7" bestFit="1" customWidth="1"/>
    <col min="776" max="776" width="11.42578125" style="7"/>
    <col min="777" max="777" width="14.140625" style="7" bestFit="1" customWidth="1"/>
    <col min="778" max="778" width="11.42578125" style="7"/>
    <col min="779" max="779" width="16.85546875" style="7" bestFit="1" customWidth="1"/>
    <col min="780" max="780" width="11.42578125" style="7"/>
    <col min="781" max="781" width="17.28515625" style="7" bestFit="1" customWidth="1"/>
    <col min="782" max="1024" width="11.42578125" style="7"/>
    <col min="1025" max="1025" width="15.85546875" style="7" bestFit="1" customWidth="1"/>
    <col min="1026" max="1030" width="11.42578125" style="7"/>
    <col min="1031" max="1031" width="19.85546875" style="7" bestFit="1" customWidth="1"/>
    <col min="1032" max="1032" width="11.42578125" style="7"/>
    <col min="1033" max="1033" width="14.140625" style="7" bestFit="1" customWidth="1"/>
    <col min="1034" max="1034" width="11.42578125" style="7"/>
    <col min="1035" max="1035" width="16.85546875" style="7" bestFit="1" customWidth="1"/>
    <col min="1036" max="1036" width="11.42578125" style="7"/>
    <col min="1037" max="1037" width="17.28515625" style="7" bestFit="1" customWidth="1"/>
    <col min="1038" max="1280" width="11.42578125" style="7"/>
    <col min="1281" max="1281" width="15.85546875" style="7" bestFit="1" customWidth="1"/>
    <col min="1282" max="1286" width="11.42578125" style="7"/>
    <col min="1287" max="1287" width="19.85546875" style="7" bestFit="1" customWidth="1"/>
    <col min="1288" max="1288" width="11.42578125" style="7"/>
    <col min="1289" max="1289" width="14.140625" style="7" bestFit="1" customWidth="1"/>
    <col min="1290" max="1290" width="11.42578125" style="7"/>
    <col min="1291" max="1291" width="16.85546875" style="7" bestFit="1" customWidth="1"/>
    <col min="1292" max="1292" width="11.42578125" style="7"/>
    <col min="1293" max="1293" width="17.28515625" style="7" bestFit="1" customWidth="1"/>
    <col min="1294" max="1536" width="11.42578125" style="7"/>
    <col min="1537" max="1537" width="15.85546875" style="7" bestFit="1" customWidth="1"/>
    <col min="1538" max="1542" width="11.42578125" style="7"/>
    <col min="1543" max="1543" width="19.85546875" style="7" bestFit="1" customWidth="1"/>
    <col min="1544" max="1544" width="11.42578125" style="7"/>
    <col min="1545" max="1545" width="14.140625" style="7" bestFit="1" customWidth="1"/>
    <col min="1546" max="1546" width="11.42578125" style="7"/>
    <col min="1547" max="1547" width="16.85546875" style="7" bestFit="1" customWidth="1"/>
    <col min="1548" max="1548" width="11.42578125" style="7"/>
    <col min="1549" max="1549" width="17.28515625" style="7" bestFit="1" customWidth="1"/>
    <col min="1550" max="1792" width="11.42578125" style="7"/>
    <col min="1793" max="1793" width="15.85546875" style="7" bestFit="1" customWidth="1"/>
    <col min="1794" max="1798" width="11.42578125" style="7"/>
    <col min="1799" max="1799" width="19.85546875" style="7" bestFit="1" customWidth="1"/>
    <col min="1800" max="1800" width="11.42578125" style="7"/>
    <col min="1801" max="1801" width="14.140625" style="7" bestFit="1" customWidth="1"/>
    <col min="1802" max="1802" width="11.42578125" style="7"/>
    <col min="1803" max="1803" width="16.85546875" style="7" bestFit="1" customWidth="1"/>
    <col min="1804" max="1804" width="11.42578125" style="7"/>
    <col min="1805" max="1805" width="17.28515625" style="7" bestFit="1" customWidth="1"/>
    <col min="1806" max="2048" width="11.42578125" style="7"/>
    <col min="2049" max="2049" width="15.85546875" style="7" bestFit="1" customWidth="1"/>
    <col min="2050" max="2054" width="11.42578125" style="7"/>
    <col min="2055" max="2055" width="19.85546875" style="7" bestFit="1" customWidth="1"/>
    <col min="2056" max="2056" width="11.42578125" style="7"/>
    <col min="2057" max="2057" width="14.140625" style="7" bestFit="1" customWidth="1"/>
    <col min="2058" max="2058" width="11.42578125" style="7"/>
    <col min="2059" max="2059" width="16.85546875" style="7" bestFit="1" customWidth="1"/>
    <col min="2060" max="2060" width="11.42578125" style="7"/>
    <col min="2061" max="2061" width="17.28515625" style="7" bestFit="1" customWidth="1"/>
    <col min="2062" max="2304" width="11.42578125" style="7"/>
    <col min="2305" max="2305" width="15.85546875" style="7" bestFit="1" customWidth="1"/>
    <col min="2306" max="2310" width="11.42578125" style="7"/>
    <col min="2311" max="2311" width="19.85546875" style="7" bestFit="1" customWidth="1"/>
    <col min="2312" max="2312" width="11.42578125" style="7"/>
    <col min="2313" max="2313" width="14.140625" style="7" bestFit="1" customWidth="1"/>
    <col min="2314" max="2314" width="11.42578125" style="7"/>
    <col min="2315" max="2315" width="16.85546875" style="7" bestFit="1" customWidth="1"/>
    <col min="2316" max="2316" width="11.42578125" style="7"/>
    <col min="2317" max="2317" width="17.28515625" style="7" bestFit="1" customWidth="1"/>
    <col min="2318" max="2560" width="11.42578125" style="7"/>
    <col min="2561" max="2561" width="15.85546875" style="7" bestFit="1" customWidth="1"/>
    <col min="2562" max="2566" width="11.42578125" style="7"/>
    <col min="2567" max="2567" width="19.85546875" style="7" bestFit="1" customWidth="1"/>
    <col min="2568" max="2568" width="11.42578125" style="7"/>
    <col min="2569" max="2569" width="14.140625" style="7" bestFit="1" customWidth="1"/>
    <col min="2570" max="2570" width="11.42578125" style="7"/>
    <col min="2571" max="2571" width="16.85546875" style="7" bestFit="1" customWidth="1"/>
    <col min="2572" max="2572" width="11.42578125" style="7"/>
    <col min="2573" max="2573" width="17.28515625" style="7" bestFit="1" customWidth="1"/>
    <col min="2574" max="2816" width="11.42578125" style="7"/>
    <col min="2817" max="2817" width="15.85546875" style="7" bestFit="1" customWidth="1"/>
    <col min="2818" max="2822" width="11.42578125" style="7"/>
    <col min="2823" max="2823" width="19.85546875" style="7" bestFit="1" customWidth="1"/>
    <col min="2824" max="2824" width="11.42578125" style="7"/>
    <col min="2825" max="2825" width="14.140625" style="7" bestFit="1" customWidth="1"/>
    <col min="2826" max="2826" width="11.42578125" style="7"/>
    <col min="2827" max="2827" width="16.85546875" style="7" bestFit="1" customWidth="1"/>
    <col min="2828" max="2828" width="11.42578125" style="7"/>
    <col min="2829" max="2829" width="17.28515625" style="7" bestFit="1" customWidth="1"/>
    <col min="2830" max="3072" width="11.42578125" style="7"/>
    <col min="3073" max="3073" width="15.85546875" style="7" bestFit="1" customWidth="1"/>
    <col min="3074" max="3078" width="11.42578125" style="7"/>
    <col min="3079" max="3079" width="19.85546875" style="7" bestFit="1" customWidth="1"/>
    <col min="3080" max="3080" width="11.42578125" style="7"/>
    <col min="3081" max="3081" width="14.140625" style="7" bestFit="1" customWidth="1"/>
    <col min="3082" max="3082" width="11.42578125" style="7"/>
    <col min="3083" max="3083" width="16.85546875" style="7" bestFit="1" customWidth="1"/>
    <col min="3084" max="3084" width="11.42578125" style="7"/>
    <col min="3085" max="3085" width="17.28515625" style="7" bestFit="1" customWidth="1"/>
    <col min="3086" max="3328" width="11.42578125" style="7"/>
    <col min="3329" max="3329" width="15.85546875" style="7" bestFit="1" customWidth="1"/>
    <col min="3330" max="3334" width="11.42578125" style="7"/>
    <col min="3335" max="3335" width="19.85546875" style="7" bestFit="1" customWidth="1"/>
    <col min="3336" max="3336" width="11.42578125" style="7"/>
    <col min="3337" max="3337" width="14.140625" style="7" bestFit="1" customWidth="1"/>
    <col min="3338" max="3338" width="11.42578125" style="7"/>
    <col min="3339" max="3339" width="16.85546875" style="7" bestFit="1" customWidth="1"/>
    <col min="3340" max="3340" width="11.42578125" style="7"/>
    <col min="3341" max="3341" width="17.28515625" style="7" bestFit="1" customWidth="1"/>
    <col min="3342" max="3584" width="11.42578125" style="7"/>
    <col min="3585" max="3585" width="15.85546875" style="7" bestFit="1" customWidth="1"/>
    <col min="3586" max="3590" width="11.42578125" style="7"/>
    <col min="3591" max="3591" width="19.85546875" style="7" bestFit="1" customWidth="1"/>
    <col min="3592" max="3592" width="11.42578125" style="7"/>
    <col min="3593" max="3593" width="14.140625" style="7" bestFit="1" customWidth="1"/>
    <col min="3594" max="3594" width="11.42578125" style="7"/>
    <col min="3595" max="3595" width="16.85546875" style="7" bestFit="1" customWidth="1"/>
    <col min="3596" max="3596" width="11.42578125" style="7"/>
    <col min="3597" max="3597" width="17.28515625" style="7" bestFit="1" customWidth="1"/>
    <col min="3598" max="3840" width="11.42578125" style="7"/>
    <col min="3841" max="3841" width="15.85546875" style="7" bestFit="1" customWidth="1"/>
    <col min="3842" max="3846" width="11.42578125" style="7"/>
    <col min="3847" max="3847" width="19.85546875" style="7" bestFit="1" customWidth="1"/>
    <col min="3848" max="3848" width="11.42578125" style="7"/>
    <col min="3849" max="3849" width="14.140625" style="7" bestFit="1" customWidth="1"/>
    <col min="3850" max="3850" width="11.42578125" style="7"/>
    <col min="3851" max="3851" width="16.85546875" style="7" bestFit="1" customWidth="1"/>
    <col min="3852" max="3852" width="11.42578125" style="7"/>
    <col min="3853" max="3853" width="17.28515625" style="7" bestFit="1" customWidth="1"/>
    <col min="3854" max="4096" width="11.42578125" style="7"/>
    <col min="4097" max="4097" width="15.85546875" style="7" bestFit="1" customWidth="1"/>
    <col min="4098" max="4102" width="11.42578125" style="7"/>
    <col min="4103" max="4103" width="19.85546875" style="7" bestFit="1" customWidth="1"/>
    <col min="4104" max="4104" width="11.42578125" style="7"/>
    <col min="4105" max="4105" width="14.140625" style="7" bestFit="1" customWidth="1"/>
    <col min="4106" max="4106" width="11.42578125" style="7"/>
    <col min="4107" max="4107" width="16.85546875" style="7" bestFit="1" customWidth="1"/>
    <col min="4108" max="4108" width="11.42578125" style="7"/>
    <col min="4109" max="4109" width="17.28515625" style="7" bestFit="1" customWidth="1"/>
    <col min="4110" max="4352" width="11.42578125" style="7"/>
    <col min="4353" max="4353" width="15.85546875" style="7" bestFit="1" customWidth="1"/>
    <col min="4354" max="4358" width="11.42578125" style="7"/>
    <col min="4359" max="4359" width="19.85546875" style="7" bestFit="1" customWidth="1"/>
    <col min="4360" max="4360" width="11.42578125" style="7"/>
    <col min="4361" max="4361" width="14.140625" style="7" bestFit="1" customWidth="1"/>
    <col min="4362" max="4362" width="11.42578125" style="7"/>
    <col min="4363" max="4363" width="16.85546875" style="7" bestFit="1" customWidth="1"/>
    <col min="4364" max="4364" width="11.42578125" style="7"/>
    <col min="4365" max="4365" width="17.28515625" style="7" bestFit="1" customWidth="1"/>
    <col min="4366" max="4608" width="11.42578125" style="7"/>
    <col min="4609" max="4609" width="15.85546875" style="7" bestFit="1" customWidth="1"/>
    <col min="4610" max="4614" width="11.42578125" style="7"/>
    <col min="4615" max="4615" width="19.85546875" style="7" bestFit="1" customWidth="1"/>
    <col min="4616" max="4616" width="11.42578125" style="7"/>
    <col min="4617" max="4617" width="14.140625" style="7" bestFit="1" customWidth="1"/>
    <col min="4618" max="4618" width="11.42578125" style="7"/>
    <col min="4619" max="4619" width="16.85546875" style="7" bestFit="1" customWidth="1"/>
    <col min="4620" max="4620" width="11.42578125" style="7"/>
    <col min="4621" max="4621" width="17.28515625" style="7" bestFit="1" customWidth="1"/>
    <col min="4622" max="4864" width="11.42578125" style="7"/>
    <col min="4865" max="4865" width="15.85546875" style="7" bestFit="1" customWidth="1"/>
    <col min="4866" max="4870" width="11.42578125" style="7"/>
    <col min="4871" max="4871" width="19.85546875" style="7" bestFit="1" customWidth="1"/>
    <col min="4872" max="4872" width="11.42578125" style="7"/>
    <col min="4873" max="4873" width="14.140625" style="7" bestFit="1" customWidth="1"/>
    <col min="4874" max="4874" width="11.42578125" style="7"/>
    <col min="4875" max="4875" width="16.85546875" style="7" bestFit="1" customWidth="1"/>
    <col min="4876" max="4876" width="11.42578125" style="7"/>
    <col min="4877" max="4877" width="17.28515625" style="7" bestFit="1" customWidth="1"/>
    <col min="4878" max="5120" width="11.42578125" style="7"/>
    <col min="5121" max="5121" width="15.85546875" style="7" bestFit="1" customWidth="1"/>
    <col min="5122" max="5126" width="11.42578125" style="7"/>
    <col min="5127" max="5127" width="19.85546875" style="7" bestFit="1" customWidth="1"/>
    <col min="5128" max="5128" width="11.42578125" style="7"/>
    <col min="5129" max="5129" width="14.140625" style="7" bestFit="1" customWidth="1"/>
    <col min="5130" max="5130" width="11.42578125" style="7"/>
    <col min="5131" max="5131" width="16.85546875" style="7" bestFit="1" customWidth="1"/>
    <col min="5132" max="5132" width="11.42578125" style="7"/>
    <col min="5133" max="5133" width="17.28515625" style="7" bestFit="1" customWidth="1"/>
    <col min="5134" max="5376" width="11.42578125" style="7"/>
    <col min="5377" max="5377" width="15.85546875" style="7" bestFit="1" customWidth="1"/>
    <col min="5378" max="5382" width="11.42578125" style="7"/>
    <col min="5383" max="5383" width="19.85546875" style="7" bestFit="1" customWidth="1"/>
    <col min="5384" max="5384" width="11.42578125" style="7"/>
    <col min="5385" max="5385" width="14.140625" style="7" bestFit="1" customWidth="1"/>
    <col min="5386" max="5386" width="11.42578125" style="7"/>
    <col min="5387" max="5387" width="16.85546875" style="7" bestFit="1" customWidth="1"/>
    <col min="5388" max="5388" width="11.42578125" style="7"/>
    <col min="5389" max="5389" width="17.28515625" style="7" bestFit="1" customWidth="1"/>
    <col min="5390" max="5632" width="11.42578125" style="7"/>
    <col min="5633" max="5633" width="15.85546875" style="7" bestFit="1" customWidth="1"/>
    <col min="5634" max="5638" width="11.42578125" style="7"/>
    <col min="5639" max="5639" width="19.85546875" style="7" bestFit="1" customWidth="1"/>
    <col min="5640" max="5640" width="11.42578125" style="7"/>
    <col min="5641" max="5641" width="14.140625" style="7" bestFit="1" customWidth="1"/>
    <col min="5642" max="5642" width="11.42578125" style="7"/>
    <col min="5643" max="5643" width="16.85546875" style="7" bestFit="1" customWidth="1"/>
    <col min="5644" max="5644" width="11.42578125" style="7"/>
    <col min="5645" max="5645" width="17.28515625" style="7" bestFit="1" customWidth="1"/>
    <col min="5646" max="5888" width="11.42578125" style="7"/>
    <col min="5889" max="5889" width="15.85546875" style="7" bestFit="1" customWidth="1"/>
    <col min="5890" max="5894" width="11.42578125" style="7"/>
    <col min="5895" max="5895" width="19.85546875" style="7" bestFit="1" customWidth="1"/>
    <col min="5896" max="5896" width="11.42578125" style="7"/>
    <col min="5897" max="5897" width="14.140625" style="7" bestFit="1" customWidth="1"/>
    <col min="5898" max="5898" width="11.42578125" style="7"/>
    <col min="5899" max="5899" width="16.85546875" style="7" bestFit="1" customWidth="1"/>
    <col min="5900" max="5900" width="11.42578125" style="7"/>
    <col min="5901" max="5901" width="17.28515625" style="7" bestFit="1" customWidth="1"/>
    <col min="5902" max="6144" width="11.42578125" style="7"/>
    <col min="6145" max="6145" width="15.85546875" style="7" bestFit="1" customWidth="1"/>
    <col min="6146" max="6150" width="11.42578125" style="7"/>
    <col min="6151" max="6151" width="19.85546875" style="7" bestFit="1" customWidth="1"/>
    <col min="6152" max="6152" width="11.42578125" style="7"/>
    <col min="6153" max="6153" width="14.140625" style="7" bestFit="1" customWidth="1"/>
    <col min="6154" max="6154" width="11.42578125" style="7"/>
    <col min="6155" max="6155" width="16.85546875" style="7" bestFit="1" customWidth="1"/>
    <col min="6156" max="6156" width="11.42578125" style="7"/>
    <col min="6157" max="6157" width="17.28515625" style="7" bestFit="1" customWidth="1"/>
    <col min="6158" max="6400" width="11.42578125" style="7"/>
    <col min="6401" max="6401" width="15.85546875" style="7" bestFit="1" customWidth="1"/>
    <col min="6402" max="6406" width="11.42578125" style="7"/>
    <col min="6407" max="6407" width="19.85546875" style="7" bestFit="1" customWidth="1"/>
    <col min="6408" max="6408" width="11.42578125" style="7"/>
    <col min="6409" max="6409" width="14.140625" style="7" bestFit="1" customWidth="1"/>
    <col min="6410" max="6410" width="11.42578125" style="7"/>
    <col min="6411" max="6411" width="16.85546875" style="7" bestFit="1" customWidth="1"/>
    <col min="6412" max="6412" width="11.42578125" style="7"/>
    <col min="6413" max="6413" width="17.28515625" style="7" bestFit="1" customWidth="1"/>
    <col min="6414" max="6656" width="11.42578125" style="7"/>
    <col min="6657" max="6657" width="15.85546875" style="7" bestFit="1" customWidth="1"/>
    <col min="6658" max="6662" width="11.42578125" style="7"/>
    <col min="6663" max="6663" width="19.85546875" style="7" bestFit="1" customWidth="1"/>
    <col min="6664" max="6664" width="11.42578125" style="7"/>
    <col min="6665" max="6665" width="14.140625" style="7" bestFit="1" customWidth="1"/>
    <col min="6666" max="6666" width="11.42578125" style="7"/>
    <col min="6667" max="6667" width="16.85546875" style="7" bestFit="1" customWidth="1"/>
    <col min="6668" max="6668" width="11.42578125" style="7"/>
    <col min="6669" max="6669" width="17.28515625" style="7" bestFit="1" customWidth="1"/>
    <col min="6670" max="6912" width="11.42578125" style="7"/>
    <col min="6913" max="6913" width="15.85546875" style="7" bestFit="1" customWidth="1"/>
    <col min="6914" max="6918" width="11.42578125" style="7"/>
    <col min="6919" max="6919" width="19.85546875" style="7" bestFit="1" customWidth="1"/>
    <col min="6920" max="6920" width="11.42578125" style="7"/>
    <col min="6921" max="6921" width="14.140625" style="7" bestFit="1" customWidth="1"/>
    <col min="6922" max="6922" width="11.42578125" style="7"/>
    <col min="6923" max="6923" width="16.85546875" style="7" bestFit="1" customWidth="1"/>
    <col min="6924" max="6924" width="11.42578125" style="7"/>
    <col min="6925" max="6925" width="17.28515625" style="7" bestFit="1" customWidth="1"/>
    <col min="6926" max="7168" width="11.42578125" style="7"/>
    <col min="7169" max="7169" width="15.85546875" style="7" bestFit="1" customWidth="1"/>
    <col min="7170" max="7174" width="11.42578125" style="7"/>
    <col min="7175" max="7175" width="19.85546875" style="7" bestFit="1" customWidth="1"/>
    <col min="7176" max="7176" width="11.42578125" style="7"/>
    <col min="7177" max="7177" width="14.140625" style="7" bestFit="1" customWidth="1"/>
    <col min="7178" max="7178" width="11.42578125" style="7"/>
    <col min="7179" max="7179" width="16.85546875" style="7" bestFit="1" customWidth="1"/>
    <col min="7180" max="7180" width="11.42578125" style="7"/>
    <col min="7181" max="7181" width="17.28515625" style="7" bestFit="1" customWidth="1"/>
    <col min="7182" max="7424" width="11.42578125" style="7"/>
    <col min="7425" max="7425" width="15.85546875" style="7" bestFit="1" customWidth="1"/>
    <col min="7426" max="7430" width="11.42578125" style="7"/>
    <col min="7431" max="7431" width="19.85546875" style="7" bestFit="1" customWidth="1"/>
    <col min="7432" max="7432" width="11.42578125" style="7"/>
    <col min="7433" max="7433" width="14.140625" style="7" bestFit="1" customWidth="1"/>
    <col min="7434" max="7434" width="11.42578125" style="7"/>
    <col min="7435" max="7435" width="16.85546875" style="7" bestFit="1" customWidth="1"/>
    <col min="7436" max="7436" width="11.42578125" style="7"/>
    <col min="7437" max="7437" width="17.28515625" style="7" bestFit="1" customWidth="1"/>
    <col min="7438" max="7680" width="11.42578125" style="7"/>
    <col min="7681" max="7681" width="15.85546875" style="7" bestFit="1" customWidth="1"/>
    <col min="7682" max="7686" width="11.42578125" style="7"/>
    <col min="7687" max="7687" width="19.85546875" style="7" bestFit="1" customWidth="1"/>
    <col min="7688" max="7688" width="11.42578125" style="7"/>
    <col min="7689" max="7689" width="14.140625" style="7" bestFit="1" customWidth="1"/>
    <col min="7690" max="7690" width="11.42578125" style="7"/>
    <col min="7691" max="7691" width="16.85546875" style="7" bestFit="1" customWidth="1"/>
    <col min="7692" max="7692" width="11.42578125" style="7"/>
    <col min="7693" max="7693" width="17.28515625" style="7" bestFit="1" customWidth="1"/>
    <col min="7694" max="7936" width="11.42578125" style="7"/>
    <col min="7937" max="7937" width="15.85546875" style="7" bestFit="1" customWidth="1"/>
    <col min="7938" max="7942" width="11.42578125" style="7"/>
    <col min="7943" max="7943" width="19.85546875" style="7" bestFit="1" customWidth="1"/>
    <col min="7944" max="7944" width="11.42578125" style="7"/>
    <col min="7945" max="7945" width="14.140625" style="7" bestFit="1" customWidth="1"/>
    <col min="7946" max="7946" width="11.42578125" style="7"/>
    <col min="7947" max="7947" width="16.85546875" style="7" bestFit="1" customWidth="1"/>
    <col min="7948" max="7948" width="11.42578125" style="7"/>
    <col min="7949" max="7949" width="17.28515625" style="7" bestFit="1" customWidth="1"/>
    <col min="7950" max="8192" width="11.42578125" style="7"/>
    <col min="8193" max="8193" width="15.85546875" style="7" bestFit="1" customWidth="1"/>
    <col min="8194" max="8198" width="11.42578125" style="7"/>
    <col min="8199" max="8199" width="19.85546875" style="7" bestFit="1" customWidth="1"/>
    <col min="8200" max="8200" width="11.42578125" style="7"/>
    <col min="8201" max="8201" width="14.140625" style="7" bestFit="1" customWidth="1"/>
    <col min="8202" max="8202" width="11.42578125" style="7"/>
    <col min="8203" max="8203" width="16.85546875" style="7" bestFit="1" customWidth="1"/>
    <col min="8204" max="8204" width="11.42578125" style="7"/>
    <col min="8205" max="8205" width="17.28515625" style="7" bestFit="1" customWidth="1"/>
    <col min="8206" max="8448" width="11.42578125" style="7"/>
    <col min="8449" max="8449" width="15.85546875" style="7" bestFit="1" customWidth="1"/>
    <col min="8450" max="8454" width="11.42578125" style="7"/>
    <col min="8455" max="8455" width="19.85546875" style="7" bestFit="1" customWidth="1"/>
    <col min="8456" max="8456" width="11.42578125" style="7"/>
    <col min="8457" max="8457" width="14.140625" style="7" bestFit="1" customWidth="1"/>
    <col min="8458" max="8458" width="11.42578125" style="7"/>
    <col min="8459" max="8459" width="16.85546875" style="7" bestFit="1" customWidth="1"/>
    <col min="8460" max="8460" width="11.42578125" style="7"/>
    <col min="8461" max="8461" width="17.28515625" style="7" bestFit="1" customWidth="1"/>
    <col min="8462" max="8704" width="11.42578125" style="7"/>
    <col min="8705" max="8705" width="15.85546875" style="7" bestFit="1" customWidth="1"/>
    <col min="8706" max="8710" width="11.42578125" style="7"/>
    <col min="8711" max="8711" width="19.85546875" style="7" bestFit="1" customWidth="1"/>
    <col min="8712" max="8712" width="11.42578125" style="7"/>
    <col min="8713" max="8713" width="14.140625" style="7" bestFit="1" customWidth="1"/>
    <col min="8714" max="8714" width="11.42578125" style="7"/>
    <col min="8715" max="8715" width="16.85546875" style="7" bestFit="1" customWidth="1"/>
    <col min="8716" max="8716" width="11.42578125" style="7"/>
    <col min="8717" max="8717" width="17.28515625" style="7" bestFit="1" customWidth="1"/>
    <col min="8718" max="8960" width="11.42578125" style="7"/>
    <col min="8961" max="8961" width="15.85546875" style="7" bestFit="1" customWidth="1"/>
    <col min="8962" max="8966" width="11.42578125" style="7"/>
    <col min="8967" max="8967" width="19.85546875" style="7" bestFit="1" customWidth="1"/>
    <col min="8968" max="8968" width="11.42578125" style="7"/>
    <col min="8969" max="8969" width="14.140625" style="7" bestFit="1" customWidth="1"/>
    <col min="8970" max="8970" width="11.42578125" style="7"/>
    <col min="8971" max="8971" width="16.85546875" style="7" bestFit="1" customWidth="1"/>
    <col min="8972" max="8972" width="11.42578125" style="7"/>
    <col min="8973" max="8973" width="17.28515625" style="7" bestFit="1" customWidth="1"/>
    <col min="8974" max="9216" width="11.42578125" style="7"/>
    <col min="9217" max="9217" width="15.85546875" style="7" bestFit="1" customWidth="1"/>
    <col min="9218" max="9222" width="11.42578125" style="7"/>
    <col min="9223" max="9223" width="19.85546875" style="7" bestFit="1" customWidth="1"/>
    <col min="9224" max="9224" width="11.42578125" style="7"/>
    <col min="9225" max="9225" width="14.140625" style="7" bestFit="1" customWidth="1"/>
    <col min="9226" max="9226" width="11.42578125" style="7"/>
    <col min="9227" max="9227" width="16.85546875" style="7" bestFit="1" customWidth="1"/>
    <col min="9228" max="9228" width="11.42578125" style="7"/>
    <col min="9229" max="9229" width="17.28515625" style="7" bestFit="1" customWidth="1"/>
    <col min="9230" max="9472" width="11.42578125" style="7"/>
    <col min="9473" max="9473" width="15.85546875" style="7" bestFit="1" customWidth="1"/>
    <col min="9474" max="9478" width="11.42578125" style="7"/>
    <col min="9479" max="9479" width="19.85546875" style="7" bestFit="1" customWidth="1"/>
    <col min="9480" max="9480" width="11.42578125" style="7"/>
    <col min="9481" max="9481" width="14.140625" style="7" bestFit="1" customWidth="1"/>
    <col min="9482" max="9482" width="11.42578125" style="7"/>
    <col min="9483" max="9483" width="16.85546875" style="7" bestFit="1" customWidth="1"/>
    <col min="9484" max="9484" width="11.42578125" style="7"/>
    <col min="9485" max="9485" width="17.28515625" style="7" bestFit="1" customWidth="1"/>
    <col min="9486" max="9728" width="11.42578125" style="7"/>
    <col min="9729" max="9729" width="15.85546875" style="7" bestFit="1" customWidth="1"/>
    <col min="9730" max="9734" width="11.42578125" style="7"/>
    <col min="9735" max="9735" width="19.85546875" style="7" bestFit="1" customWidth="1"/>
    <col min="9736" max="9736" width="11.42578125" style="7"/>
    <col min="9737" max="9737" width="14.140625" style="7" bestFit="1" customWidth="1"/>
    <col min="9738" max="9738" width="11.42578125" style="7"/>
    <col min="9739" max="9739" width="16.85546875" style="7" bestFit="1" customWidth="1"/>
    <col min="9740" max="9740" width="11.42578125" style="7"/>
    <col min="9741" max="9741" width="17.28515625" style="7" bestFit="1" customWidth="1"/>
    <col min="9742" max="9984" width="11.42578125" style="7"/>
    <col min="9985" max="9985" width="15.85546875" style="7" bestFit="1" customWidth="1"/>
    <col min="9986" max="9990" width="11.42578125" style="7"/>
    <col min="9991" max="9991" width="19.85546875" style="7" bestFit="1" customWidth="1"/>
    <col min="9992" max="9992" width="11.42578125" style="7"/>
    <col min="9993" max="9993" width="14.140625" style="7" bestFit="1" customWidth="1"/>
    <col min="9994" max="9994" width="11.42578125" style="7"/>
    <col min="9995" max="9995" width="16.85546875" style="7" bestFit="1" customWidth="1"/>
    <col min="9996" max="9996" width="11.42578125" style="7"/>
    <col min="9997" max="9997" width="17.28515625" style="7" bestFit="1" customWidth="1"/>
    <col min="9998" max="10240" width="11.42578125" style="7"/>
    <col min="10241" max="10241" width="15.85546875" style="7" bestFit="1" customWidth="1"/>
    <col min="10242" max="10246" width="11.42578125" style="7"/>
    <col min="10247" max="10247" width="19.85546875" style="7" bestFit="1" customWidth="1"/>
    <col min="10248" max="10248" width="11.42578125" style="7"/>
    <col min="10249" max="10249" width="14.140625" style="7" bestFit="1" customWidth="1"/>
    <col min="10250" max="10250" width="11.42578125" style="7"/>
    <col min="10251" max="10251" width="16.85546875" style="7" bestFit="1" customWidth="1"/>
    <col min="10252" max="10252" width="11.42578125" style="7"/>
    <col min="10253" max="10253" width="17.28515625" style="7" bestFit="1" customWidth="1"/>
    <col min="10254" max="10496" width="11.42578125" style="7"/>
    <col min="10497" max="10497" width="15.85546875" style="7" bestFit="1" customWidth="1"/>
    <col min="10498" max="10502" width="11.42578125" style="7"/>
    <col min="10503" max="10503" width="19.85546875" style="7" bestFit="1" customWidth="1"/>
    <col min="10504" max="10504" width="11.42578125" style="7"/>
    <col min="10505" max="10505" width="14.140625" style="7" bestFit="1" customWidth="1"/>
    <col min="10506" max="10506" width="11.42578125" style="7"/>
    <col min="10507" max="10507" width="16.85546875" style="7" bestFit="1" customWidth="1"/>
    <col min="10508" max="10508" width="11.42578125" style="7"/>
    <col min="10509" max="10509" width="17.28515625" style="7" bestFit="1" customWidth="1"/>
    <col min="10510" max="10752" width="11.42578125" style="7"/>
    <col min="10753" max="10753" width="15.85546875" style="7" bestFit="1" customWidth="1"/>
    <col min="10754" max="10758" width="11.42578125" style="7"/>
    <col min="10759" max="10759" width="19.85546875" style="7" bestFit="1" customWidth="1"/>
    <col min="10760" max="10760" width="11.42578125" style="7"/>
    <col min="10761" max="10761" width="14.140625" style="7" bestFit="1" customWidth="1"/>
    <col min="10762" max="10762" width="11.42578125" style="7"/>
    <col min="10763" max="10763" width="16.85546875" style="7" bestFit="1" customWidth="1"/>
    <col min="10764" max="10764" width="11.42578125" style="7"/>
    <col min="10765" max="10765" width="17.28515625" style="7" bestFit="1" customWidth="1"/>
    <col min="10766" max="11008" width="11.42578125" style="7"/>
    <col min="11009" max="11009" width="15.85546875" style="7" bestFit="1" customWidth="1"/>
    <col min="11010" max="11014" width="11.42578125" style="7"/>
    <col min="11015" max="11015" width="19.85546875" style="7" bestFit="1" customWidth="1"/>
    <col min="11016" max="11016" width="11.42578125" style="7"/>
    <col min="11017" max="11017" width="14.140625" style="7" bestFit="1" customWidth="1"/>
    <col min="11018" max="11018" width="11.42578125" style="7"/>
    <col min="11019" max="11019" width="16.85546875" style="7" bestFit="1" customWidth="1"/>
    <col min="11020" max="11020" width="11.42578125" style="7"/>
    <col min="11021" max="11021" width="17.28515625" style="7" bestFit="1" customWidth="1"/>
    <col min="11022" max="11264" width="11.42578125" style="7"/>
    <col min="11265" max="11265" width="15.85546875" style="7" bestFit="1" customWidth="1"/>
    <col min="11266" max="11270" width="11.42578125" style="7"/>
    <col min="11271" max="11271" width="19.85546875" style="7" bestFit="1" customWidth="1"/>
    <col min="11272" max="11272" width="11.42578125" style="7"/>
    <col min="11273" max="11273" width="14.140625" style="7" bestFit="1" customWidth="1"/>
    <col min="11274" max="11274" width="11.42578125" style="7"/>
    <col min="11275" max="11275" width="16.85546875" style="7" bestFit="1" customWidth="1"/>
    <col min="11276" max="11276" width="11.42578125" style="7"/>
    <col min="11277" max="11277" width="17.28515625" style="7" bestFit="1" customWidth="1"/>
    <col min="11278" max="11520" width="11.42578125" style="7"/>
    <col min="11521" max="11521" width="15.85546875" style="7" bestFit="1" customWidth="1"/>
    <col min="11522" max="11526" width="11.42578125" style="7"/>
    <col min="11527" max="11527" width="19.85546875" style="7" bestFit="1" customWidth="1"/>
    <col min="11528" max="11528" width="11.42578125" style="7"/>
    <col min="11529" max="11529" width="14.140625" style="7" bestFit="1" customWidth="1"/>
    <col min="11530" max="11530" width="11.42578125" style="7"/>
    <col min="11531" max="11531" width="16.85546875" style="7" bestFit="1" customWidth="1"/>
    <col min="11532" max="11532" width="11.42578125" style="7"/>
    <col min="11533" max="11533" width="17.28515625" style="7" bestFit="1" customWidth="1"/>
    <col min="11534" max="11776" width="11.42578125" style="7"/>
    <col min="11777" max="11777" width="15.85546875" style="7" bestFit="1" customWidth="1"/>
    <col min="11778" max="11782" width="11.42578125" style="7"/>
    <col min="11783" max="11783" width="19.85546875" style="7" bestFit="1" customWidth="1"/>
    <col min="11784" max="11784" width="11.42578125" style="7"/>
    <col min="11785" max="11785" width="14.140625" style="7" bestFit="1" customWidth="1"/>
    <col min="11786" max="11786" width="11.42578125" style="7"/>
    <col min="11787" max="11787" width="16.85546875" style="7" bestFit="1" customWidth="1"/>
    <col min="11788" max="11788" width="11.42578125" style="7"/>
    <col min="11789" max="11789" width="17.28515625" style="7" bestFit="1" customWidth="1"/>
    <col min="11790" max="12032" width="11.42578125" style="7"/>
    <col min="12033" max="12033" width="15.85546875" style="7" bestFit="1" customWidth="1"/>
    <col min="12034" max="12038" width="11.42578125" style="7"/>
    <col min="12039" max="12039" width="19.85546875" style="7" bestFit="1" customWidth="1"/>
    <col min="12040" max="12040" width="11.42578125" style="7"/>
    <col min="12041" max="12041" width="14.140625" style="7" bestFit="1" customWidth="1"/>
    <col min="12042" max="12042" width="11.42578125" style="7"/>
    <col min="12043" max="12043" width="16.85546875" style="7" bestFit="1" customWidth="1"/>
    <col min="12044" max="12044" width="11.42578125" style="7"/>
    <col min="12045" max="12045" width="17.28515625" style="7" bestFit="1" customWidth="1"/>
    <col min="12046" max="12288" width="11.42578125" style="7"/>
    <col min="12289" max="12289" width="15.85546875" style="7" bestFit="1" customWidth="1"/>
    <col min="12290" max="12294" width="11.42578125" style="7"/>
    <col min="12295" max="12295" width="19.85546875" style="7" bestFit="1" customWidth="1"/>
    <col min="12296" max="12296" width="11.42578125" style="7"/>
    <col min="12297" max="12297" width="14.140625" style="7" bestFit="1" customWidth="1"/>
    <col min="12298" max="12298" width="11.42578125" style="7"/>
    <col min="12299" max="12299" width="16.85546875" style="7" bestFit="1" customWidth="1"/>
    <col min="12300" max="12300" width="11.42578125" style="7"/>
    <col min="12301" max="12301" width="17.28515625" style="7" bestFit="1" customWidth="1"/>
    <col min="12302" max="12544" width="11.42578125" style="7"/>
    <col min="12545" max="12545" width="15.85546875" style="7" bestFit="1" customWidth="1"/>
    <col min="12546" max="12550" width="11.42578125" style="7"/>
    <col min="12551" max="12551" width="19.85546875" style="7" bestFit="1" customWidth="1"/>
    <col min="12552" max="12552" width="11.42578125" style="7"/>
    <col min="12553" max="12553" width="14.140625" style="7" bestFit="1" customWidth="1"/>
    <col min="12554" max="12554" width="11.42578125" style="7"/>
    <col min="12555" max="12555" width="16.85546875" style="7" bestFit="1" customWidth="1"/>
    <col min="12556" max="12556" width="11.42578125" style="7"/>
    <col min="12557" max="12557" width="17.28515625" style="7" bestFit="1" customWidth="1"/>
    <col min="12558" max="12800" width="11.42578125" style="7"/>
    <col min="12801" max="12801" width="15.85546875" style="7" bestFit="1" customWidth="1"/>
    <col min="12802" max="12806" width="11.42578125" style="7"/>
    <col min="12807" max="12807" width="19.85546875" style="7" bestFit="1" customWidth="1"/>
    <col min="12808" max="12808" width="11.42578125" style="7"/>
    <col min="12809" max="12809" width="14.140625" style="7" bestFit="1" customWidth="1"/>
    <col min="12810" max="12810" width="11.42578125" style="7"/>
    <col min="12811" max="12811" width="16.85546875" style="7" bestFit="1" customWidth="1"/>
    <col min="12812" max="12812" width="11.42578125" style="7"/>
    <col min="12813" max="12813" width="17.28515625" style="7" bestFit="1" customWidth="1"/>
    <col min="12814" max="13056" width="11.42578125" style="7"/>
    <col min="13057" max="13057" width="15.85546875" style="7" bestFit="1" customWidth="1"/>
    <col min="13058" max="13062" width="11.42578125" style="7"/>
    <col min="13063" max="13063" width="19.85546875" style="7" bestFit="1" customWidth="1"/>
    <col min="13064" max="13064" width="11.42578125" style="7"/>
    <col min="13065" max="13065" width="14.140625" style="7" bestFit="1" customWidth="1"/>
    <col min="13066" max="13066" width="11.42578125" style="7"/>
    <col min="13067" max="13067" width="16.85546875" style="7" bestFit="1" customWidth="1"/>
    <col min="13068" max="13068" width="11.42578125" style="7"/>
    <col min="13069" max="13069" width="17.28515625" style="7" bestFit="1" customWidth="1"/>
    <col min="13070" max="13312" width="11.42578125" style="7"/>
    <col min="13313" max="13313" width="15.85546875" style="7" bestFit="1" customWidth="1"/>
    <col min="13314" max="13318" width="11.42578125" style="7"/>
    <col min="13319" max="13319" width="19.85546875" style="7" bestFit="1" customWidth="1"/>
    <col min="13320" max="13320" width="11.42578125" style="7"/>
    <col min="13321" max="13321" width="14.140625" style="7" bestFit="1" customWidth="1"/>
    <col min="13322" max="13322" width="11.42578125" style="7"/>
    <col min="13323" max="13323" width="16.85546875" style="7" bestFit="1" customWidth="1"/>
    <col min="13324" max="13324" width="11.42578125" style="7"/>
    <col min="13325" max="13325" width="17.28515625" style="7" bestFit="1" customWidth="1"/>
    <col min="13326" max="13568" width="11.42578125" style="7"/>
    <col min="13569" max="13569" width="15.85546875" style="7" bestFit="1" customWidth="1"/>
    <col min="13570" max="13574" width="11.42578125" style="7"/>
    <col min="13575" max="13575" width="19.85546875" style="7" bestFit="1" customWidth="1"/>
    <col min="13576" max="13576" width="11.42578125" style="7"/>
    <col min="13577" max="13577" width="14.140625" style="7" bestFit="1" customWidth="1"/>
    <col min="13578" max="13578" width="11.42578125" style="7"/>
    <col min="13579" max="13579" width="16.85546875" style="7" bestFit="1" customWidth="1"/>
    <col min="13580" max="13580" width="11.42578125" style="7"/>
    <col min="13581" max="13581" width="17.28515625" style="7" bestFit="1" customWidth="1"/>
    <col min="13582" max="13824" width="11.42578125" style="7"/>
    <col min="13825" max="13825" width="15.85546875" style="7" bestFit="1" customWidth="1"/>
    <col min="13826" max="13830" width="11.42578125" style="7"/>
    <col min="13831" max="13831" width="19.85546875" style="7" bestFit="1" customWidth="1"/>
    <col min="13832" max="13832" width="11.42578125" style="7"/>
    <col min="13833" max="13833" width="14.140625" style="7" bestFit="1" customWidth="1"/>
    <col min="13834" max="13834" width="11.42578125" style="7"/>
    <col min="13835" max="13835" width="16.85546875" style="7" bestFit="1" customWidth="1"/>
    <col min="13836" max="13836" width="11.42578125" style="7"/>
    <col min="13837" max="13837" width="17.28515625" style="7" bestFit="1" customWidth="1"/>
    <col min="13838" max="14080" width="11.42578125" style="7"/>
    <col min="14081" max="14081" width="15.85546875" style="7" bestFit="1" customWidth="1"/>
    <col min="14082" max="14086" width="11.42578125" style="7"/>
    <col min="14087" max="14087" width="19.85546875" style="7" bestFit="1" customWidth="1"/>
    <col min="14088" max="14088" width="11.42578125" style="7"/>
    <col min="14089" max="14089" width="14.140625" style="7" bestFit="1" customWidth="1"/>
    <col min="14090" max="14090" width="11.42578125" style="7"/>
    <col min="14091" max="14091" width="16.85546875" style="7" bestFit="1" customWidth="1"/>
    <col min="14092" max="14092" width="11.42578125" style="7"/>
    <col min="14093" max="14093" width="17.28515625" style="7" bestFit="1" customWidth="1"/>
    <col min="14094" max="14336" width="11.42578125" style="7"/>
    <col min="14337" max="14337" width="15.85546875" style="7" bestFit="1" customWidth="1"/>
    <col min="14338" max="14342" width="11.42578125" style="7"/>
    <col min="14343" max="14343" width="19.85546875" style="7" bestFit="1" customWidth="1"/>
    <col min="14344" max="14344" width="11.42578125" style="7"/>
    <col min="14345" max="14345" width="14.140625" style="7" bestFit="1" customWidth="1"/>
    <col min="14346" max="14346" width="11.42578125" style="7"/>
    <col min="14347" max="14347" width="16.85546875" style="7" bestFit="1" customWidth="1"/>
    <col min="14348" max="14348" width="11.42578125" style="7"/>
    <col min="14349" max="14349" width="17.28515625" style="7" bestFit="1" customWidth="1"/>
    <col min="14350" max="14592" width="11.42578125" style="7"/>
    <col min="14593" max="14593" width="15.85546875" style="7" bestFit="1" customWidth="1"/>
    <col min="14594" max="14598" width="11.42578125" style="7"/>
    <col min="14599" max="14599" width="19.85546875" style="7" bestFit="1" customWidth="1"/>
    <col min="14600" max="14600" width="11.42578125" style="7"/>
    <col min="14601" max="14601" width="14.140625" style="7" bestFit="1" customWidth="1"/>
    <col min="14602" max="14602" width="11.42578125" style="7"/>
    <col min="14603" max="14603" width="16.85546875" style="7" bestFit="1" customWidth="1"/>
    <col min="14604" max="14604" width="11.42578125" style="7"/>
    <col min="14605" max="14605" width="17.28515625" style="7" bestFit="1" customWidth="1"/>
    <col min="14606" max="14848" width="11.42578125" style="7"/>
    <col min="14849" max="14849" width="15.85546875" style="7" bestFit="1" customWidth="1"/>
    <col min="14850" max="14854" width="11.42578125" style="7"/>
    <col min="14855" max="14855" width="19.85546875" style="7" bestFit="1" customWidth="1"/>
    <col min="14856" max="14856" width="11.42578125" style="7"/>
    <col min="14857" max="14857" width="14.140625" style="7" bestFit="1" customWidth="1"/>
    <col min="14858" max="14858" width="11.42578125" style="7"/>
    <col min="14859" max="14859" width="16.85546875" style="7" bestFit="1" customWidth="1"/>
    <col min="14860" max="14860" width="11.42578125" style="7"/>
    <col min="14861" max="14861" width="17.28515625" style="7" bestFit="1" customWidth="1"/>
    <col min="14862" max="15104" width="11.42578125" style="7"/>
    <col min="15105" max="15105" width="15.85546875" style="7" bestFit="1" customWidth="1"/>
    <col min="15106" max="15110" width="11.42578125" style="7"/>
    <col min="15111" max="15111" width="19.85546875" style="7" bestFit="1" customWidth="1"/>
    <col min="15112" max="15112" width="11.42578125" style="7"/>
    <col min="15113" max="15113" width="14.140625" style="7" bestFit="1" customWidth="1"/>
    <col min="15114" max="15114" width="11.42578125" style="7"/>
    <col min="15115" max="15115" width="16.85546875" style="7" bestFit="1" customWidth="1"/>
    <col min="15116" max="15116" width="11.42578125" style="7"/>
    <col min="15117" max="15117" width="17.28515625" style="7" bestFit="1" customWidth="1"/>
    <col min="15118" max="15360" width="11.42578125" style="7"/>
    <col min="15361" max="15361" width="15.85546875" style="7" bestFit="1" customWidth="1"/>
    <col min="15362" max="15366" width="11.42578125" style="7"/>
    <col min="15367" max="15367" width="19.85546875" style="7" bestFit="1" customWidth="1"/>
    <col min="15368" max="15368" width="11.42578125" style="7"/>
    <col min="15369" max="15369" width="14.140625" style="7" bestFit="1" customWidth="1"/>
    <col min="15370" max="15370" width="11.42578125" style="7"/>
    <col min="15371" max="15371" width="16.85546875" style="7" bestFit="1" customWidth="1"/>
    <col min="15372" max="15372" width="11.42578125" style="7"/>
    <col min="15373" max="15373" width="17.28515625" style="7" bestFit="1" customWidth="1"/>
    <col min="15374" max="15616" width="11.42578125" style="7"/>
    <col min="15617" max="15617" width="15.85546875" style="7" bestFit="1" customWidth="1"/>
    <col min="15618" max="15622" width="11.42578125" style="7"/>
    <col min="15623" max="15623" width="19.85546875" style="7" bestFit="1" customWidth="1"/>
    <col min="15624" max="15624" width="11.42578125" style="7"/>
    <col min="15625" max="15625" width="14.140625" style="7" bestFit="1" customWidth="1"/>
    <col min="15626" max="15626" width="11.42578125" style="7"/>
    <col min="15627" max="15627" width="16.85546875" style="7" bestFit="1" customWidth="1"/>
    <col min="15628" max="15628" width="11.42578125" style="7"/>
    <col min="15629" max="15629" width="17.28515625" style="7" bestFit="1" customWidth="1"/>
    <col min="15630" max="15872" width="11.42578125" style="7"/>
    <col min="15873" max="15873" width="15.85546875" style="7" bestFit="1" customWidth="1"/>
    <col min="15874" max="15878" width="11.42578125" style="7"/>
    <col min="15879" max="15879" width="19.85546875" style="7" bestFit="1" customWidth="1"/>
    <col min="15880" max="15880" width="11.42578125" style="7"/>
    <col min="15881" max="15881" width="14.140625" style="7" bestFit="1" customWidth="1"/>
    <col min="15882" max="15882" width="11.42578125" style="7"/>
    <col min="15883" max="15883" width="16.85546875" style="7" bestFit="1" customWidth="1"/>
    <col min="15884" max="15884" width="11.42578125" style="7"/>
    <col min="15885" max="15885" width="17.28515625" style="7" bestFit="1" customWidth="1"/>
    <col min="15886" max="16128" width="11.42578125" style="7"/>
    <col min="16129" max="16129" width="15.85546875" style="7" bestFit="1" customWidth="1"/>
    <col min="16130" max="16134" width="11.42578125" style="7"/>
    <col min="16135" max="16135" width="19.85546875" style="7" bestFit="1" customWidth="1"/>
    <col min="16136" max="16136" width="11.42578125" style="7"/>
    <col min="16137" max="16137" width="14.140625" style="7" bestFit="1" customWidth="1"/>
    <col min="16138" max="16138" width="11.42578125" style="7"/>
    <col min="16139" max="16139" width="16.85546875" style="7" bestFit="1" customWidth="1"/>
    <col min="16140" max="16140" width="11.42578125" style="7"/>
    <col min="16141" max="16141" width="17.28515625" style="7" bestFit="1" customWidth="1"/>
    <col min="16142" max="16384" width="11.42578125" style="7"/>
  </cols>
  <sheetData>
    <row r="1" spans="1:14" ht="26.25" thickBot="1" x14ac:dyDescent="0.4">
      <c r="A1" s="1" t="s">
        <v>0</v>
      </c>
      <c r="B1" s="2"/>
      <c r="C1" s="3"/>
      <c r="D1" s="3"/>
      <c r="E1" s="3"/>
      <c r="F1" s="3"/>
      <c r="G1" s="3"/>
      <c r="H1" s="4"/>
      <c r="I1" s="3"/>
      <c r="J1" s="4"/>
      <c r="K1" s="5" t="s">
        <v>1</v>
      </c>
      <c r="L1" s="5" t="s">
        <v>1</v>
      </c>
      <c r="M1" s="5" t="s">
        <v>1</v>
      </c>
      <c r="N1" s="6"/>
    </row>
    <row r="2" spans="1:14" ht="18.75" thickBot="1" x14ac:dyDescent="0.3">
      <c r="A2" s="8" t="s">
        <v>2</v>
      </c>
      <c r="B2" s="9">
        <f>+[3]NOTES!B2</f>
        <v>44439</v>
      </c>
      <c r="C2" s="3"/>
      <c r="D2" s="3"/>
      <c r="E2" s="3"/>
      <c r="F2" s="3"/>
      <c r="G2" s="3"/>
      <c r="H2" s="10"/>
      <c r="I2" s="3"/>
      <c r="J2" s="10"/>
      <c r="K2" s="3"/>
      <c r="L2" s="3"/>
      <c r="M2" s="3"/>
      <c r="N2" s="6"/>
    </row>
    <row r="3" spans="1:14" x14ac:dyDescent="0.25">
      <c r="A3" s="8"/>
      <c r="B3" s="2"/>
      <c r="C3" s="3"/>
      <c r="D3" s="3"/>
      <c r="E3" s="3"/>
      <c r="F3" s="3"/>
      <c r="G3" s="3"/>
      <c r="H3" s="4"/>
      <c r="I3" s="3"/>
      <c r="J3" s="4"/>
      <c r="K3" s="5"/>
      <c r="L3" s="5"/>
      <c r="M3" s="5"/>
      <c r="N3" s="6"/>
    </row>
    <row r="4" spans="1:14" x14ac:dyDescent="0.25">
      <c r="A4" s="8"/>
      <c r="B4" s="2"/>
      <c r="C4" s="3"/>
      <c r="D4" s="3"/>
      <c r="E4" s="3"/>
      <c r="F4" s="3"/>
      <c r="G4" s="3"/>
      <c r="H4" s="4"/>
      <c r="I4" s="3"/>
      <c r="J4" s="4"/>
      <c r="K4" s="5"/>
      <c r="L4" s="5"/>
      <c r="M4" s="5"/>
      <c r="N4" s="6"/>
    </row>
    <row r="5" spans="1:14" ht="14.25" thickBot="1" x14ac:dyDescent="0.3">
      <c r="A5" s="8"/>
      <c r="B5" s="2"/>
      <c r="C5" s="3"/>
      <c r="D5" s="3"/>
      <c r="E5" s="3"/>
      <c r="F5" s="3"/>
      <c r="G5" s="3"/>
      <c r="H5" s="4"/>
      <c r="I5" s="3"/>
      <c r="J5" s="4"/>
      <c r="K5" s="5"/>
      <c r="L5" s="5"/>
      <c r="M5" s="5"/>
      <c r="N5" s="6"/>
    </row>
    <row r="6" spans="1:14" ht="21.75" thickBot="1" x14ac:dyDescent="0.4">
      <c r="A6" s="232" t="s">
        <v>3</v>
      </c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4"/>
      <c r="N6" s="6"/>
    </row>
    <row r="7" spans="1:14" s="13" customFormat="1" ht="17.25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2"/>
    </row>
    <row r="8" spans="1:14" s="13" customFormat="1" ht="17.25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2"/>
    </row>
    <row r="9" spans="1:14" x14ac:dyDescent="0.25">
      <c r="A9" s="6"/>
      <c r="B9" s="6"/>
      <c r="C9" s="6"/>
      <c r="D9" s="6"/>
      <c r="E9" s="6"/>
      <c r="F9" s="6"/>
      <c r="G9" s="6"/>
      <c r="H9" s="14"/>
      <c r="I9" s="6"/>
      <c r="J9" s="14"/>
      <c r="K9" s="6"/>
      <c r="L9" s="6"/>
      <c r="M9" s="6"/>
      <c r="N9" s="6"/>
    </row>
    <row r="10" spans="1:14" ht="14.25" thickBot="1" x14ac:dyDescent="0.3">
      <c r="A10" s="3"/>
      <c r="B10" s="3"/>
      <c r="C10" s="3"/>
      <c r="D10" s="3"/>
      <c r="E10" s="3"/>
      <c r="F10" s="3"/>
      <c r="G10" s="3"/>
      <c r="H10" s="4"/>
      <c r="I10" s="3"/>
      <c r="J10" s="4"/>
      <c r="K10" s="3"/>
      <c r="L10" s="3"/>
      <c r="M10" s="3"/>
      <c r="N10" s="6"/>
    </row>
    <row r="11" spans="1:14" ht="14.25" thickBot="1" x14ac:dyDescent="0.3">
      <c r="A11" s="15" t="s">
        <v>1</v>
      </c>
      <c r="B11" s="16" t="s">
        <v>4</v>
      </c>
      <c r="C11" s="17" t="s">
        <v>5</v>
      </c>
      <c r="D11" s="235" t="s">
        <v>6</v>
      </c>
      <c r="E11" s="236"/>
      <c r="F11" s="236"/>
      <c r="G11" s="236"/>
      <c r="H11" s="236"/>
      <c r="I11" s="236"/>
      <c r="J11" s="237"/>
      <c r="K11" s="18" t="s">
        <v>7</v>
      </c>
      <c r="L11" s="19" t="s">
        <v>7</v>
      </c>
      <c r="M11" s="20" t="s">
        <v>7</v>
      </c>
      <c r="N11" s="6"/>
    </row>
    <row r="12" spans="1:14" ht="61.5" customHeight="1" thickBot="1" x14ac:dyDescent="0.3">
      <c r="A12" s="21"/>
      <c r="B12" s="22"/>
      <c r="C12" s="23" t="s">
        <v>8</v>
      </c>
      <c r="D12" s="24" t="s">
        <v>5</v>
      </c>
      <c r="E12" s="25" t="s">
        <v>9</v>
      </c>
      <c r="F12" s="26"/>
      <c r="G12" s="24" t="s">
        <v>10</v>
      </c>
      <c r="H12" s="27" t="s">
        <v>11</v>
      </c>
      <c r="I12" s="23" t="s">
        <v>12</v>
      </c>
      <c r="J12" s="28" t="s">
        <v>13</v>
      </c>
      <c r="K12" s="29">
        <f>+B2</f>
        <v>44439</v>
      </c>
      <c r="L12" s="30">
        <v>44439</v>
      </c>
      <c r="M12" s="31">
        <f>+B2</f>
        <v>44439</v>
      </c>
      <c r="N12" s="6"/>
    </row>
    <row r="13" spans="1:14" ht="14.25" thickBot="1" x14ac:dyDescent="0.3">
      <c r="A13" s="32"/>
      <c r="B13" s="33"/>
      <c r="C13" s="33"/>
      <c r="D13" s="33"/>
      <c r="E13" s="33"/>
      <c r="F13" s="33"/>
      <c r="G13" s="33"/>
      <c r="H13" s="34" t="s">
        <v>1</v>
      </c>
      <c r="I13" s="33"/>
      <c r="J13" s="34" t="s">
        <v>1</v>
      </c>
      <c r="K13" s="33"/>
      <c r="L13" s="33"/>
      <c r="M13" s="35"/>
      <c r="N13" s="6"/>
    </row>
    <row r="14" spans="1:14" ht="16.5" thickBot="1" x14ac:dyDescent="0.3">
      <c r="A14" s="32"/>
      <c r="B14" s="36" t="s">
        <v>14</v>
      </c>
      <c r="C14" s="33"/>
      <c r="D14" s="33"/>
      <c r="E14" s="33"/>
      <c r="F14" s="33"/>
      <c r="G14" s="33"/>
      <c r="H14" s="34"/>
      <c r="I14" s="37" t="s">
        <v>15</v>
      </c>
      <c r="J14" s="34"/>
      <c r="K14" s="38" t="s">
        <v>16</v>
      </c>
      <c r="L14" s="39" t="s">
        <v>17</v>
      </c>
      <c r="M14" s="40" t="s">
        <v>18</v>
      </c>
      <c r="N14" s="6"/>
    </row>
    <row r="15" spans="1:14" x14ac:dyDescent="0.25">
      <c r="A15" s="32" t="s">
        <v>19</v>
      </c>
      <c r="B15" s="33"/>
      <c r="C15" s="41"/>
      <c r="D15" s="41"/>
      <c r="E15" s="41"/>
      <c r="F15" s="41"/>
      <c r="G15" s="41"/>
      <c r="H15" s="42"/>
      <c r="I15" s="43"/>
      <c r="J15" s="42"/>
      <c r="K15" s="44"/>
      <c r="L15" s="44"/>
      <c r="M15" s="45"/>
      <c r="N15" s="6"/>
    </row>
    <row r="16" spans="1:14" x14ac:dyDescent="0.25">
      <c r="A16" s="32"/>
      <c r="B16" s="33" t="s">
        <v>20</v>
      </c>
      <c r="C16" s="46">
        <f>20716-5200</f>
        <v>15516</v>
      </c>
      <c r="D16" s="46">
        <f>+C16</f>
        <v>15516</v>
      </c>
      <c r="E16" s="47">
        <v>684</v>
      </c>
      <c r="F16" s="48">
        <f>ROUND((E16*D16)/10000,0)</f>
        <v>1061</v>
      </c>
      <c r="G16" s="44" t="s">
        <v>21</v>
      </c>
      <c r="H16" s="42">
        <v>775</v>
      </c>
      <c r="I16" s="49">
        <f>+F16*H16/228</f>
        <v>3606.469298245614</v>
      </c>
      <c r="J16" s="42">
        <v>776</v>
      </c>
      <c r="K16" s="49">
        <f>+F16*J16/228</f>
        <v>3611.1228070175439</v>
      </c>
      <c r="L16" s="49">
        <f>K16</f>
        <v>3611.1228070175439</v>
      </c>
      <c r="M16" s="50">
        <f>+K16*8/12</f>
        <v>2407.4152046783624</v>
      </c>
      <c r="N16" s="6"/>
    </row>
    <row r="17" spans="1:14" ht="14.25" thickBot="1" x14ac:dyDescent="0.3">
      <c r="A17" s="32"/>
      <c r="B17" s="33" t="str">
        <f>+B16</f>
        <v>Bourgogne ROUGE</v>
      </c>
      <c r="C17" s="46">
        <v>2248</v>
      </c>
      <c r="D17" s="46">
        <v>2248</v>
      </c>
      <c r="E17" s="47">
        <v>684</v>
      </c>
      <c r="F17" s="48">
        <f>ROUND((E17*D17)/10000,0)</f>
        <v>154</v>
      </c>
      <c r="G17" s="44" t="str">
        <f>+G16</f>
        <v>bourgogne RGE</v>
      </c>
      <c r="H17" s="42">
        <v>775</v>
      </c>
      <c r="I17" s="49">
        <f>ROUND((F17*H17)/228,2)</f>
        <v>523.46</v>
      </c>
      <c r="J17" s="42">
        <f>+J16</f>
        <v>776</v>
      </c>
      <c r="K17" s="49">
        <f>+F17*J17/228</f>
        <v>524.14035087719299</v>
      </c>
      <c r="L17" s="49">
        <f>K17</f>
        <v>524.14035087719299</v>
      </c>
      <c r="M17" s="50">
        <f>+K17*8/12</f>
        <v>349.42690058479531</v>
      </c>
      <c r="N17" s="6"/>
    </row>
    <row r="18" spans="1:14" ht="16.5" thickBot="1" x14ac:dyDescent="0.3">
      <c r="A18" s="51"/>
      <c r="B18" s="52"/>
      <c r="C18" s="53">
        <f>SUM(C16:C17)</f>
        <v>17764</v>
      </c>
      <c r="D18" s="53">
        <f>SUM(D16:D17)</f>
        <v>17764</v>
      </c>
      <c r="E18" s="54"/>
      <c r="F18" s="54"/>
      <c r="G18" s="54"/>
      <c r="H18" s="55"/>
      <c r="I18" s="56">
        <f>SUM(I16:I17)</f>
        <v>4129.9292982456136</v>
      </c>
      <c r="J18" s="57"/>
      <c r="K18" s="58">
        <f>SUM(K16:K17)</f>
        <v>4135.2631578947367</v>
      </c>
      <c r="L18" s="59">
        <f>SUM(L16:L17)</f>
        <v>4135.2631578947367</v>
      </c>
      <c r="M18" s="60">
        <f>SUM(M16:M17)</f>
        <v>2756.8421052631579</v>
      </c>
      <c r="N18" s="6"/>
    </row>
    <row r="19" spans="1:14" x14ac:dyDescent="0.25">
      <c r="A19" s="32"/>
      <c r="B19" s="33"/>
      <c r="C19" s="33"/>
      <c r="D19" s="33"/>
      <c r="E19" s="33"/>
      <c r="F19" s="33"/>
      <c r="G19" s="33"/>
      <c r="H19" s="34"/>
      <c r="I19" s="61"/>
      <c r="J19" s="34"/>
      <c r="K19" s="61"/>
      <c r="L19" s="61"/>
      <c r="M19" s="62"/>
      <c r="N19" s="6"/>
    </row>
    <row r="20" spans="1:14" x14ac:dyDescent="0.25">
      <c r="A20" s="32"/>
      <c r="B20" s="63" t="s">
        <v>22</v>
      </c>
      <c r="C20" s="33"/>
      <c r="D20" s="33"/>
      <c r="E20" s="33"/>
      <c r="F20" s="33"/>
      <c r="G20" s="33"/>
      <c r="H20" s="34"/>
      <c r="I20" s="64" t="str">
        <f>I14</f>
        <v>Recolte 2019</v>
      </c>
      <c r="J20" s="34"/>
      <c r="K20" s="65" t="str">
        <f>K14</f>
        <v>Récolte 2020</v>
      </c>
      <c r="L20" s="65" t="str">
        <f>L14</f>
        <v>Récolte 2021</v>
      </c>
      <c r="M20" s="66" t="str">
        <f>M14</f>
        <v>PROV 8/12 2021</v>
      </c>
      <c r="N20" s="6"/>
    </row>
    <row r="21" spans="1:14" x14ac:dyDescent="0.25">
      <c r="A21" s="32" t="s">
        <v>19</v>
      </c>
      <c r="B21" s="33"/>
      <c r="C21" s="41"/>
      <c r="D21" s="41"/>
      <c r="E21" s="41"/>
      <c r="F21" s="41"/>
      <c r="G21" s="41"/>
      <c r="H21" s="42"/>
      <c r="I21" s="49"/>
      <c r="J21" s="42"/>
      <c r="K21" s="49"/>
      <c r="L21" s="49"/>
      <c r="M21" s="67"/>
      <c r="N21" s="6"/>
    </row>
    <row r="22" spans="1:14" x14ac:dyDescent="0.25">
      <c r="A22" s="32"/>
      <c r="B22" s="33" t="s">
        <v>23</v>
      </c>
      <c r="C22" s="46">
        <v>7153</v>
      </c>
      <c r="D22" s="68">
        <f>+C22</f>
        <v>7153</v>
      </c>
      <c r="E22" s="47">
        <v>684</v>
      </c>
      <c r="F22" s="48">
        <f t="shared" ref="F22:F31" si="0">ROUND((E22*D22)/10000,0)</f>
        <v>489</v>
      </c>
      <c r="G22" s="44" t="str">
        <f>+G16</f>
        <v>bourgogne RGE</v>
      </c>
      <c r="H22" s="42">
        <f>H16</f>
        <v>775</v>
      </c>
      <c r="I22" s="49">
        <f t="shared" ref="I22:I31" si="1">ROUND((F22*H22)/228,2)</f>
        <v>1662.17</v>
      </c>
      <c r="J22" s="42">
        <f>J16</f>
        <v>776</v>
      </c>
      <c r="K22" s="49">
        <f>+F22*J22/228</f>
        <v>1664.3157894736842</v>
      </c>
      <c r="L22" s="49">
        <f>K22</f>
        <v>1664.3157894736842</v>
      </c>
      <c r="M22" s="67">
        <f>+K22*0.666666666666667</f>
        <v>1109.5438596491233</v>
      </c>
      <c r="N22" s="6"/>
    </row>
    <row r="23" spans="1:14" x14ac:dyDescent="0.25">
      <c r="A23" s="32"/>
      <c r="B23" s="33" t="s">
        <v>24</v>
      </c>
      <c r="C23" s="46">
        <v>17488</v>
      </c>
      <c r="D23" s="69">
        <f>+C23</f>
        <v>17488</v>
      </c>
      <c r="E23" s="47">
        <v>684</v>
      </c>
      <c r="F23" s="48">
        <f t="shared" si="0"/>
        <v>1196</v>
      </c>
      <c r="G23" s="44" t="s">
        <v>25</v>
      </c>
      <c r="H23" s="42">
        <v>3347</v>
      </c>
      <c r="I23" s="49">
        <f t="shared" si="1"/>
        <v>17557.07</v>
      </c>
      <c r="J23" s="42">
        <v>2899</v>
      </c>
      <c r="K23" s="49">
        <f t="shared" ref="K23:K30" si="2">+F23*J23/228</f>
        <v>15207.035087719298</v>
      </c>
      <c r="L23" s="49">
        <f t="shared" ref="L23:L31" si="3">K23</f>
        <v>15207.035087719298</v>
      </c>
      <c r="M23" s="67">
        <f t="shared" ref="M23:M31" si="4">+K23*0.666666666666667</f>
        <v>10138.023391812869</v>
      </c>
      <c r="N23" s="6"/>
    </row>
    <row r="24" spans="1:14" x14ac:dyDescent="0.25">
      <c r="A24" s="32"/>
      <c r="B24" s="33" t="s">
        <v>26</v>
      </c>
      <c r="C24" s="46">
        <v>1231</v>
      </c>
      <c r="D24" s="68">
        <f>C24</f>
        <v>1231</v>
      </c>
      <c r="E24" s="47">
        <v>684</v>
      </c>
      <c r="F24" s="48">
        <f t="shared" si="0"/>
        <v>84</v>
      </c>
      <c r="G24" s="44" t="s">
        <v>27</v>
      </c>
      <c r="H24" s="42">
        <v>3351</v>
      </c>
      <c r="I24" s="49">
        <f t="shared" si="1"/>
        <v>1234.58</v>
      </c>
      <c r="J24" s="42">
        <v>2908</v>
      </c>
      <c r="K24" s="49">
        <f t="shared" si="2"/>
        <v>1071.3684210526317</v>
      </c>
      <c r="L24" s="49">
        <f t="shared" si="3"/>
        <v>1071.3684210526317</v>
      </c>
      <c r="M24" s="67">
        <f t="shared" si="4"/>
        <v>714.24561403508812</v>
      </c>
      <c r="N24" s="6"/>
    </row>
    <row r="25" spans="1:14" x14ac:dyDescent="0.25">
      <c r="A25" s="32"/>
      <c r="B25" s="33" t="s">
        <v>28</v>
      </c>
      <c r="C25" s="46">
        <v>3265</v>
      </c>
      <c r="D25" s="68">
        <f>C25</f>
        <v>3265</v>
      </c>
      <c r="E25" s="47">
        <v>684</v>
      </c>
      <c r="F25" s="48">
        <f>ROUND((E25*D25)/10000,0)</f>
        <v>223</v>
      </c>
      <c r="G25" s="44" t="s">
        <v>27</v>
      </c>
      <c r="H25" s="42">
        <f>H24</f>
        <v>3351</v>
      </c>
      <c r="I25" s="49">
        <f>ROUND((F25*H25)/228,2)</f>
        <v>3277.51</v>
      </c>
      <c r="J25" s="42">
        <f>J24</f>
        <v>2908</v>
      </c>
      <c r="K25" s="49">
        <f t="shared" si="2"/>
        <v>2844.2280701754385</v>
      </c>
      <c r="L25" s="49">
        <f t="shared" si="3"/>
        <v>2844.2280701754385</v>
      </c>
      <c r="M25" s="67">
        <f t="shared" si="4"/>
        <v>1896.1520467836265</v>
      </c>
      <c r="N25" s="6"/>
    </row>
    <row r="26" spans="1:14" x14ac:dyDescent="0.25">
      <c r="A26" s="32"/>
      <c r="B26" s="33" t="s">
        <v>29</v>
      </c>
      <c r="C26" s="46">
        <f>2153-335</f>
        <v>1818</v>
      </c>
      <c r="D26" s="68">
        <f>C26</f>
        <v>1818</v>
      </c>
      <c r="E26" s="47">
        <v>684</v>
      </c>
      <c r="F26" s="48">
        <f t="shared" si="0"/>
        <v>124</v>
      </c>
      <c r="G26" s="44" t="s">
        <v>30</v>
      </c>
      <c r="H26" s="42">
        <v>4627</v>
      </c>
      <c r="I26" s="49">
        <f t="shared" si="1"/>
        <v>2516.44</v>
      </c>
      <c r="J26" s="42">
        <v>4114</v>
      </c>
      <c r="K26" s="49">
        <f t="shared" si="2"/>
        <v>2237.4385964912281</v>
      </c>
      <c r="L26" s="49">
        <f t="shared" si="3"/>
        <v>2237.4385964912281</v>
      </c>
      <c r="M26" s="67">
        <f t="shared" si="4"/>
        <v>1491.6257309941527</v>
      </c>
      <c r="N26" s="6"/>
    </row>
    <row r="27" spans="1:14" x14ac:dyDescent="0.25">
      <c r="A27" s="32"/>
      <c r="B27" s="33" t="s">
        <v>31</v>
      </c>
      <c r="C27" s="46">
        <v>3495</v>
      </c>
      <c r="D27" s="68">
        <v>3495</v>
      </c>
      <c r="E27" s="47">
        <v>684</v>
      </c>
      <c r="F27" s="48">
        <f t="shared" si="0"/>
        <v>239</v>
      </c>
      <c r="G27" s="44" t="s">
        <v>30</v>
      </c>
      <c r="H27" s="42">
        <f>H26</f>
        <v>4627</v>
      </c>
      <c r="I27" s="49">
        <f t="shared" si="1"/>
        <v>4850.2299999999996</v>
      </c>
      <c r="J27" s="42">
        <f>J26</f>
        <v>4114</v>
      </c>
      <c r="K27" s="49">
        <f t="shared" si="2"/>
        <v>4312.4824561403511</v>
      </c>
      <c r="L27" s="49">
        <f t="shared" si="3"/>
        <v>4312.4824561403511</v>
      </c>
      <c r="M27" s="67">
        <f t="shared" si="4"/>
        <v>2874.9883040935688</v>
      </c>
      <c r="N27" s="6"/>
    </row>
    <row r="28" spans="1:14" x14ac:dyDescent="0.25">
      <c r="A28" s="32"/>
      <c r="B28" s="33" t="s">
        <v>32</v>
      </c>
      <c r="C28" s="46">
        <v>2956</v>
      </c>
      <c r="D28" s="68">
        <v>2956</v>
      </c>
      <c r="E28" s="47">
        <v>684</v>
      </c>
      <c r="F28" s="48">
        <f t="shared" si="0"/>
        <v>202</v>
      </c>
      <c r="G28" s="44" t="s">
        <v>30</v>
      </c>
      <c r="H28" s="42">
        <f>H26</f>
        <v>4627</v>
      </c>
      <c r="I28" s="49">
        <f t="shared" si="1"/>
        <v>4099.3599999999997</v>
      </c>
      <c r="J28" s="42">
        <f>J26</f>
        <v>4114</v>
      </c>
      <c r="K28" s="49">
        <f t="shared" si="2"/>
        <v>3644.8596491228072</v>
      </c>
      <c r="L28" s="49">
        <f t="shared" si="3"/>
        <v>3644.8596491228072</v>
      </c>
      <c r="M28" s="67">
        <f t="shared" si="4"/>
        <v>2429.9064327485394</v>
      </c>
      <c r="N28" s="6"/>
    </row>
    <row r="29" spans="1:14" x14ac:dyDescent="0.25">
      <c r="A29" s="32"/>
      <c r="B29" s="33" t="s">
        <v>33</v>
      </c>
      <c r="C29" s="46">
        <f>5952+335</f>
        <v>6287</v>
      </c>
      <c r="D29" s="68">
        <v>6287</v>
      </c>
      <c r="E29" s="47">
        <v>684</v>
      </c>
      <c r="F29" s="48">
        <f t="shared" si="0"/>
        <v>430</v>
      </c>
      <c r="G29" s="44" t="s">
        <v>30</v>
      </c>
      <c r="H29" s="42">
        <f>H26</f>
        <v>4627</v>
      </c>
      <c r="I29" s="49">
        <f t="shared" si="1"/>
        <v>8726.36</v>
      </c>
      <c r="J29" s="42">
        <f>J26</f>
        <v>4114</v>
      </c>
      <c r="K29" s="49">
        <f t="shared" si="2"/>
        <v>7758.8596491228072</v>
      </c>
      <c r="L29" s="49">
        <f t="shared" si="3"/>
        <v>7758.8596491228072</v>
      </c>
      <c r="M29" s="67">
        <f t="shared" si="4"/>
        <v>5172.5730994152073</v>
      </c>
      <c r="N29" s="6"/>
    </row>
    <row r="30" spans="1:14" x14ac:dyDescent="0.25">
      <c r="A30" s="32"/>
      <c r="B30" s="33" t="s">
        <v>34</v>
      </c>
      <c r="C30" s="46">
        <v>3060</v>
      </c>
      <c r="D30" s="68">
        <f>C30</f>
        <v>3060</v>
      </c>
      <c r="E30" s="47">
        <v>684</v>
      </c>
      <c r="F30" s="48">
        <f>ROUND((E30*D30)/10000,0)</f>
        <v>209</v>
      </c>
      <c r="G30" s="44" t="s">
        <v>35</v>
      </c>
      <c r="H30" s="42">
        <v>4802</v>
      </c>
      <c r="I30" s="49">
        <v>4401.83</v>
      </c>
      <c r="J30" s="42">
        <v>4269</v>
      </c>
      <c r="K30" s="49">
        <f t="shared" si="2"/>
        <v>3913.25</v>
      </c>
      <c r="L30" s="49">
        <f t="shared" si="3"/>
        <v>3913.25</v>
      </c>
      <c r="M30" s="67">
        <f t="shared" si="4"/>
        <v>2608.8333333333344</v>
      </c>
      <c r="N30" s="6"/>
    </row>
    <row r="31" spans="1:14" x14ac:dyDescent="0.25">
      <c r="A31" s="32"/>
      <c r="B31" s="33" t="s">
        <v>36</v>
      </c>
      <c r="C31" s="46">
        <v>2732</v>
      </c>
      <c r="D31" s="68">
        <f>C31</f>
        <v>2732</v>
      </c>
      <c r="E31" s="47">
        <v>684</v>
      </c>
      <c r="F31" s="48">
        <f t="shared" si="0"/>
        <v>187</v>
      </c>
      <c r="G31" s="44" t="str">
        <f>+G30</f>
        <v>Pommard 1C Epenots</v>
      </c>
      <c r="H31" s="42">
        <f>H30</f>
        <v>4802</v>
      </c>
      <c r="I31" s="49">
        <f t="shared" si="1"/>
        <v>3938.48</v>
      </c>
      <c r="J31" s="42">
        <f>J30</f>
        <v>4269</v>
      </c>
      <c r="K31" s="49">
        <f>+F31*J31/228</f>
        <v>3501.3289473684213</v>
      </c>
      <c r="L31" s="49">
        <f t="shared" si="3"/>
        <v>3501.3289473684213</v>
      </c>
      <c r="M31" s="67">
        <f t="shared" si="4"/>
        <v>2334.2192982456154</v>
      </c>
      <c r="N31" s="6"/>
    </row>
    <row r="32" spans="1:14" ht="14.25" thickBot="1" x14ac:dyDescent="0.3">
      <c r="A32" s="32"/>
      <c r="B32" s="33"/>
      <c r="C32" s="46"/>
      <c r="D32" s="46"/>
      <c r="E32" s="47"/>
      <c r="F32" s="48"/>
      <c r="G32" s="44"/>
      <c r="H32" s="42"/>
      <c r="I32" s="49"/>
      <c r="J32" s="42"/>
      <c r="K32" s="49"/>
      <c r="L32" s="49"/>
      <c r="M32" s="67"/>
      <c r="N32" s="6"/>
    </row>
    <row r="33" spans="1:14" ht="16.5" thickBot="1" x14ac:dyDescent="0.3">
      <c r="A33" s="51"/>
      <c r="B33" s="52"/>
      <c r="C33" s="53">
        <f>SUM(C22:C31)</f>
        <v>49485</v>
      </c>
      <c r="D33" s="53">
        <f>SUM(D22:D31)</f>
        <v>49485</v>
      </c>
      <c r="E33" s="54"/>
      <c r="F33" s="54"/>
      <c r="G33" s="54"/>
      <c r="H33" s="70" t="s">
        <v>37</v>
      </c>
      <c r="I33" s="56">
        <f>SUM(I22:I31)</f>
        <v>52264.030000000006</v>
      </c>
      <c r="J33" s="71" t="s">
        <v>37</v>
      </c>
      <c r="K33" s="58">
        <f>SUM(K22:K31)</f>
        <v>46155.166666666664</v>
      </c>
      <c r="L33" s="59">
        <f>SUM(L22:L31)</f>
        <v>46155.166666666664</v>
      </c>
      <c r="M33" s="60">
        <f>SUM(M22:M32)</f>
        <v>30770.111111111124</v>
      </c>
      <c r="N33" s="6"/>
    </row>
    <row r="34" spans="1:14" x14ac:dyDescent="0.25">
      <c r="A34" s="32"/>
      <c r="B34" s="33"/>
      <c r="C34" s="72"/>
      <c r="D34" s="72"/>
      <c r="E34" s="73"/>
      <c r="F34" s="73"/>
      <c r="G34" s="73"/>
      <c r="H34" s="74" t="s">
        <v>38</v>
      </c>
      <c r="I34" s="64">
        <f>+I33*20%</f>
        <v>10452.806000000002</v>
      </c>
      <c r="J34" s="74" t="s">
        <v>38</v>
      </c>
      <c r="K34" s="64">
        <f>K33*20/100</f>
        <v>9231.0333333333328</v>
      </c>
      <c r="L34" s="64">
        <f>L33*20/100</f>
        <v>9231.0333333333328</v>
      </c>
      <c r="M34" s="75">
        <f>M33*20/100</f>
        <v>6154.0222222222246</v>
      </c>
      <c r="N34" s="6"/>
    </row>
    <row r="35" spans="1:14" x14ac:dyDescent="0.25">
      <c r="A35" s="32"/>
      <c r="B35" s="33"/>
      <c r="C35" s="72"/>
      <c r="D35" s="72"/>
      <c r="E35" s="73"/>
      <c r="F35" s="73"/>
      <c r="G35" s="73"/>
      <c r="H35" s="74" t="s">
        <v>39</v>
      </c>
      <c r="I35" s="76">
        <f>+I33+I34</f>
        <v>62716.83600000001</v>
      </c>
      <c r="J35" s="74" t="s">
        <v>39</v>
      </c>
      <c r="K35" s="77">
        <f>K33+K34</f>
        <v>55386.2</v>
      </c>
      <c r="L35" s="78">
        <f>L33+L34</f>
        <v>55386.2</v>
      </c>
      <c r="M35" s="79">
        <f>M33+M34</f>
        <v>36924.133333333346</v>
      </c>
      <c r="N35" s="6"/>
    </row>
    <row r="36" spans="1:14" x14ac:dyDescent="0.25">
      <c r="A36" s="32"/>
      <c r="B36" s="33"/>
      <c r="C36" s="33"/>
      <c r="D36" s="33"/>
      <c r="E36" s="33"/>
      <c r="F36" s="33"/>
      <c r="G36" s="33"/>
      <c r="H36" s="34"/>
      <c r="I36" s="61"/>
      <c r="J36" s="34"/>
      <c r="K36" s="61"/>
      <c r="L36" s="61"/>
      <c r="M36" s="62"/>
      <c r="N36" s="6"/>
    </row>
    <row r="37" spans="1:14" x14ac:dyDescent="0.25">
      <c r="A37" s="32"/>
      <c r="B37" s="80" t="s">
        <v>40</v>
      </c>
      <c r="C37" s="81"/>
      <c r="D37" s="81"/>
      <c r="E37" s="33"/>
      <c r="F37" s="33"/>
      <c r="G37" s="33"/>
      <c r="H37" s="34"/>
      <c r="I37" s="64" t="str">
        <f>I14</f>
        <v>Recolte 2019</v>
      </c>
      <c r="J37" s="34"/>
      <c r="K37" s="65" t="str">
        <f>K14</f>
        <v>Récolte 2020</v>
      </c>
      <c r="L37" s="65" t="str">
        <f>L14</f>
        <v>Récolte 2021</v>
      </c>
      <c r="M37" s="66" t="str">
        <f>M14</f>
        <v>PROV 8/12 2021</v>
      </c>
      <c r="N37" s="6"/>
    </row>
    <row r="38" spans="1:14" x14ac:dyDescent="0.25">
      <c r="A38" s="32" t="s">
        <v>19</v>
      </c>
      <c r="B38" s="33"/>
      <c r="C38" s="33"/>
      <c r="D38" s="33"/>
      <c r="E38" s="33"/>
      <c r="F38" s="33"/>
      <c r="G38" s="33"/>
      <c r="H38" s="34"/>
      <c r="I38" s="61"/>
      <c r="J38" s="34"/>
      <c r="K38" s="61"/>
      <c r="L38" s="61"/>
      <c r="M38" s="62"/>
      <c r="N38" s="6"/>
    </row>
    <row r="39" spans="1:14" ht="14.25" thickBot="1" x14ac:dyDescent="0.3">
      <c r="A39" s="32"/>
      <c r="B39" s="33" t="s">
        <v>41</v>
      </c>
      <c r="C39" s="46">
        <v>4770</v>
      </c>
      <c r="D39" s="46">
        <v>4770</v>
      </c>
      <c r="E39" s="47">
        <v>478</v>
      </c>
      <c r="F39" s="48">
        <f>ROUND((E39*D39)/10000,0)</f>
        <v>228</v>
      </c>
      <c r="G39" s="82" t="str">
        <f>+G17</f>
        <v>bourgogne RGE</v>
      </c>
      <c r="H39" s="42">
        <f>+H16</f>
        <v>775</v>
      </c>
      <c r="I39" s="49">
        <f>ROUND((F39*H39)/228,2)</f>
        <v>775</v>
      </c>
      <c r="J39" s="42">
        <f>+J16</f>
        <v>776</v>
      </c>
      <c r="K39" s="49">
        <f>+F39*J39/228</f>
        <v>776</v>
      </c>
      <c r="L39" s="49">
        <f>K39</f>
        <v>776</v>
      </c>
      <c r="M39" s="67">
        <f>+K39*0.666666666666667</f>
        <v>517.3333333333336</v>
      </c>
      <c r="N39" s="6"/>
    </row>
    <row r="40" spans="1:14" ht="16.5" thickBot="1" x14ac:dyDescent="0.3">
      <c r="A40" s="51"/>
      <c r="B40" s="83"/>
      <c r="C40" s="84">
        <f>SUM(C39:C39)</f>
        <v>4770</v>
      </c>
      <c r="D40" s="84">
        <f>SUM(D39:D39)</f>
        <v>4770</v>
      </c>
      <c r="E40" s="85"/>
      <c r="F40" s="85"/>
      <c r="G40" s="85"/>
      <c r="H40" s="86" t="str">
        <f>+H33</f>
        <v>HTVA</v>
      </c>
      <c r="I40" s="56">
        <f>SUM(I39:I39)</f>
        <v>775</v>
      </c>
      <c r="J40" s="87" t="str">
        <f>+J33</f>
        <v>HTVA</v>
      </c>
      <c r="K40" s="58">
        <f>SUM(K39:K39)</f>
        <v>776</v>
      </c>
      <c r="L40" s="59">
        <f>SUM(L39:L39)</f>
        <v>776</v>
      </c>
      <c r="M40" s="60">
        <f>SUM(M39:M39)</f>
        <v>517.3333333333336</v>
      </c>
      <c r="N40" s="6"/>
    </row>
    <row r="41" spans="1:14" x14ac:dyDescent="0.25">
      <c r="A41" s="32"/>
      <c r="B41" s="33"/>
      <c r="C41" s="88"/>
      <c r="D41" s="88"/>
      <c r="E41" s="33"/>
      <c r="F41" s="33"/>
      <c r="G41" s="33"/>
      <c r="H41" s="89" t="s">
        <v>38</v>
      </c>
      <c r="I41" s="64">
        <f>+I40*20%</f>
        <v>155</v>
      </c>
      <c r="J41" s="89" t="s">
        <v>38</v>
      </c>
      <c r="K41" s="64">
        <f>K40*20/100</f>
        <v>155.19999999999999</v>
      </c>
      <c r="L41" s="64">
        <f>L40*20/100</f>
        <v>155.19999999999999</v>
      </c>
      <c r="M41" s="75">
        <f>+M40*20%</f>
        <v>103.46666666666673</v>
      </c>
      <c r="N41" s="6"/>
    </row>
    <row r="42" spans="1:14" x14ac:dyDescent="0.25">
      <c r="A42" s="32"/>
      <c r="B42" s="33"/>
      <c r="C42" s="88"/>
      <c r="D42" s="88"/>
      <c r="E42" s="33"/>
      <c r="F42" s="33"/>
      <c r="G42" s="33"/>
      <c r="H42" s="89" t="s">
        <v>39</v>
      </c>
      <c r="I42" s="76">
        <f>+I40+I41</f>
        <v>930</v>
      </c>
      <c r="J42" s="89" t="s">
        <v>39</v>
      </c>
      <c r="K42" s="77">
        <f>+K40+K41</f>
        <v>931.2</v>
      </c>
      <c r="L42" s="78">
        <f>+L40+L41</f>
        <v>931.2</v>
      </c>
      <c r="M42" s="79">
        <f>+M40+M41</f>
        <v>620.8000000000003</v>
      </c>
      <c r="N42" s="6"/>
    </row>
    <row r="43" spans="1:14" x14ac:dyDescent="0.25">
      <c r="A43" s="32"/>
      <c r="B43" s="33"/>
      <c r="C43" s="33"/>
      <c r="D43" s="33"/>
      <c r="E43" s="33"/>
      <c r="F43" s="33"/>
      <c r="G43" s="33"/>
      <c r="H43" s="34"/>
      <c r="I43" s="64"/>
      <c r="J43" s="34"/>
      <c r="K43" s="61"/>
      <c r="L43" s="61"/>
      <c r="M43" s="62"/>
      <c r="N43" s="6"/>
    </row>
    <row r="44" spans="1:14" x14ac:dyDescent="0.25">
      <c r="A44" s="32"/>
      <c r="B44" s="63" t="s">
        <v>42</v>
      </c>
      <c r="C44" s="33"/>
      <c r="D44" s="33"/>
      <c r="E44" s="33"/>
      <c r="F44" s="33"/>
      <c r="G44" s="33"/>
      <c r="H44" s="34"/>
      <c r="I44" s="64" t="str">
        <f>I14</f>
        <v>Recolte 2019</v>
      </c>
      <c r="J44" s="34"/>
      <c r="K44" s="65" t="str">
        <f>K14</f>
        <v>Récolte 2020</v>
      </c>
      <c r="L44" s="65" t="str">
        <f>L14</f>
        <v>Récolte 2021</v>
      </c>
      <c r="M44" s="66" t="str">
        <f>M14</f>
        <v>PROV 8/12 2021</v>
      </c>
      <c r="N44" s="6"/>
    </row>
    <row r="45" spans="1:14" x14ac:dyDescent="0.25">
      <c r="A45" s="32" t="s">
        <v>19</v>
      </c>
      <c r="B45" s="33"/>
      <c r="C45" s="33"/>
      <c r="D45" s="33"/>
      <c r="E45" s="33"/>
      <c r="F45" s="33"/>
      <c r="G45" s="33"/>
      <c r="H45" s="34"/>
      <c r="I45" s="61"/>
      <c r="J45" s="34"/>
      <c r="K45" s="61"/>
      <c r="L45" s="61"/>
      <c r="M45" s="62"/>
      <c r="N45" s="6"/>
    </row>
    <row r="46" spans="1:14" ht="14.25" thickBot="1" x14ac:dyDescent="0.3">
      <c r="A46" s="32"/>
      <c r="B46" s="33" t="s">
        <v>43</v>
      </c>
      <c r="C46" s="46">
        <v>1302</v>
      </c>
      <c r="D46" s="46">
        <v>1302</v>
      </c>
      <c r="E46" s="47">
        <v>912</v>
      </c>
      <c r="F46" s="48">
        <f>ROUND((E46*D46)/10000,0)</f>
        <v>119</v>
      </c>
      <c r="G46" s="82" t="str">
        <f>+G39</f>
        <v>bourgogne RGE</v>
      </c>
      <c r="H46" s="42">
        <f>+H16</f>
        <v>775</v>
      </c>
      <c r="I46" s="49">
        <f>ROUND((F46*H46)/228,2)</f>
        <v>404.5</v>
      </c>
      <c r="J46" s="42">
        <f>+J16</f>
        <v>776</v>
      </c>
      <c r="K46" s="49">
        <f>+F46*J46/228</f>
        <v>405.01754385964909</v>
      </c>
      <c r="L46" s="49">
        <f>K46</f>
        <v>405.01754385964909</v>
      </c>
      <c r="M46" s="67">
        <f>+K46*0.666666666666667</f>
        <v>270.01169590643286</v>
      </c>
      <c r="N46" s="6"/>
    </row>
    <row r="47" spans="1:14" ht="15.75" x14ac:dyDescent="0.25">
      <c r="A47" s="51"/>
      <c r="B47" s="83"/>
      <c r="C47" s="84">
        <f>SUM(C46:C46)</f>
        <v>1302</v>
      </c>
      <c r="D47" s="84">
        <f>SUM(D46:D46)</f>
        <v>1302</v>
      </c>
      <c r="E47" s="85"/>
      <c r="F47" s="85"/>
      <c r="G47" s="85"/>
      <c r="H47" s="90"/>
      <c r="I47" s="91">
        <f>SUM(I46:I46)</f>
        <v>404.5</v>
      </c>
      <c r="J47" s="92"/>
      <c r="K47" s="93">
        <f>SUM(K46:K46)</f>
        <v>405.01754385964909</v>
      </c>
      <c r="L47" s="94">
        <f>SUM(L46:L46)</f>
        <v>405.01754385964909</v>
      </c>
      <c r="M47" s="95">
        <f>SUM(M46:M46)</f>
        <v>270.01169590643286</v>
      </c>
      <c r="N47" s="6"/>
    </row>
    <row r="48" spans="1:14" ht="15.75" x14ac:dyDescent="0.25">
      <c r="A48" s="96"/>
      <c r="B48" s="97"/>
      <c r="C48" s="98"/>
      <c r="D48" s="98"/>
      <c r="E48" s="97"/>
      <c r="F48" s="97"/>
      <c r="G48" s="97"/>
      <c r="H48" s="99"/>
      <c r="I48" s="100"/>
      <c r="J48" s="99"/>
      <c r="K48" s="101"/>
      <c r="L48" s="101"/>
      <c r="M48" s="102"/>
      <c r="N48" s="6"/>
    </row>
    <row r="49" spans="1:14" ht="15.75" x14ac:dyDescent="0.25">
      <c r="A49" s="103"/>
      <c r="B49" s="104" t="s">
        <v>44</v>
      </c>
      <c r="C49" s="105"/>
      <c r="D49" s="105"/>
      <c r="E49" s="106"/>
      <c r="F49" s="106"/>
      <c r="G49" s="106"/>
      <c r="H49" s="107"/>
      <c r="I49" s="108"/>
      <c r="J49" s="107"/>
      <c r="K49" s="109"/>
      <c r="L49" s="109"/>
      <c r="M49" s="110"/>
      <c r="N49" s="6"/>
    </row>
    <row r="50" spans="1:14" ht="15.75" x14ac:dyDescent="0.25">
      <c r="A50" s="103"/>
      <c r="B50" s="106"/>
      <c r="C50" s="105"/>
      <c r="D50" s="105"/>
      <c r="E50" s="106"/>
      <c r="F50" s="106"/>
      <c r="G50" s="106"/>
      <c r="H50" s="107"/>
      <c r="I50" s="108"/>
      <c r="J50" s="107"/>
      <c r="K50" s="109"/>
      <c r="L50" s="109"/>
      <c r="M50" s="110"/>
      <c r="N50" s="6"/>
    </row>
    <row r="51" spans="1:14" ht="15.75" x14ac:dyDescent="0.25">
      <c r="A51" s="103" t="s">
        <v>19</v>
      </c>
      <c r="B51" s="106" t="s">
        <v>45</v>
      </c>
      <c r="C51" s="111">
        <f>[3]SURFACES!F21</f>
        <v>1312</v>
      </c>
      <c r="D51" s="111">
        <f>C51</f>
        <v>1312</v>
      </c>
      <c r="E51" s="112" t="s">
        <v>46</v>
      </c>
      <c r="F51" s="48">
        <f>+D51*0.11</f>
        <v>144.32</v>
      </c>
      <c r="G51" s="113" t="s">
        <v>47</v>
      </c>
      <c r="H51" s="114">
        <v>2068</v>
      </c>
      <c r="I51" s="115">
        <f>+F51*H51/228</f>
        <v>1309.0077192982455</v>
      </c>
      <c r="J51" s="114">
        <v>1899</v>
      </c>
      <c r="K51" s="116">
        <f>+F51*J51/228</f>
        <v>1202.0336842105262</v>
      </c>
      <c r="L51" s="116">
        <f>K51</f>
        <v>1202.0336842105262</v>
      </c>
      <c r="M51" s="110">
        <f>+K51*0.666666666666667</f>
        <v>801.35578947368447</v>
      </c>
      <c r="N51" s="6"/>
    </row>
    <row r="52" spans="1:14" ht="15.75" x14ac:dyDescent="0.25">
      <c r="A52" s="103"/>
      <c r="B52" s="106" t="s">
        <v>48</v>
      </c>
      <c r="C52" s="111">
        <v>422</v>
      </c>
      <c r="D52" s="111">
        <f t="shared" ref="D52:D54" si="5">C52</f>
        <v>422</v>
      </c>
      <c r="E52" s="112" t="str">
        <f>+E51</f>
        <v>1100L/H</v>
      </c>
      <c r="F52" s="48">
        <f t="shared" ref="F52:F54" si="6">+D52*0.11</f>
        <v>46.42</v>
      </c>
      <c r="G52" s="113" t="s">
        <v>49</v>
      </c>
      <c r="H52" s="114">
        <v>7552</v>
      </c>
      <c r="I52" s="115">
        <v>3694.52</v>
      </c>
      <c r="J52" s="114">
        <v>7827</v>
      </c>
      <c r="K52" s="116">
        <f>+F52*J52/228</f>
        <v>1593.5497368421054</v>
      </c>
      <c r="L52" s="116">
        <f t="shared" ref="L52:L54" si="7">K52</f>
        <v>1593.5497368421054</v>
      </c>
      <c r="M52" s="110">
        <f t="shared" ref="M52:M54" si="8">+K52*0.666666666666667</f>
        <v>1062.3664912280708</v>
      </c>
      <c r="N52" s="6"/>
    </row>
    <row r="53" spans="1:14" ht="15.75" x14ac:dyDescent="0.25">
      <c r="A53" s="103"/>
      <c r="B53" s="106" t="s">
        <v>50</v>
      </c>
      <c r="C53" s="111">
        <v>934</v>
      </c>
      <c r="D53" s="111">
        <f t="shared" si="5"/>
        <v>934</v>
      </c>
      <c r="E53" s="112" t="str">
        <f>E52</f>
        <v>1100L/H</v>
      </c>
      <c r="F53" s="48">
        <f t="shared" si="6"/>
        <v>102.74</v>
      </c>
      <c r="G53" s="113" t="s">
        <v>51</v>
      </c>
      <c r="H53" s="114">
        <v>8282</v>
      </c>
      <c r="I53" s="115">
        <f t="shared" ref="I53:I54" si="9">+F53*H53/228</f>
        <v>3731.9854385964909</v>
      </c>
      <c r="J53" s="114">
        <v>8767</v>
      </c>
      <c r="K53" s="116">
        <f t="shared" ref="K53:K54" si="10">+F53*J53/228</f>
        <v>3950.533245614035</v>
      </c>
      <c r="L53" s="116">
        <f t="shared" si="7"/>
        <v>3950.533245614035</v>
      </c>
      <c r="M53" s="110">
        <f t="shared" si="8"/>
        <v>2633.6888304093577</v>
      </c>
      <c r="N53" s="6"/>
    </row>
    <row r="54" spans="1:14" ht="16.5" thickBot="1" x14ac:dyDescent="0.3">
      <c r="A54" s="103"/>
      <c r="B54" s="106" t="s">
        <v>52</v>
      </c>
      <c r="C54" s="111">
        <f>[3]SURFACES!F24</f>
        <v>1325</v>
      </c>
      <c r="D54" s="117">
        <f t="shared" si="5"/>
        <v>1325</v>
      </c>
      <c r="E54" s="118" t="str">
        <f>E53</f>
        <v>1100L/H</v>
      </c>
      <c r="F54" s="48">
        <f t="shared" si="6"/>
        <v>145.75</v>
      </c>
      <c r="G54" s="113" t="s">
        <v>53</v>
      </c>
      <c r="H54" s="114">
        <v>775</v>
      </c>
      <c r="I54" s="115">
        <f t="shared" si="9"/>
        <v>495.42214912280701</v>
      </c>
      <c r="J54" s="119">
        <f>+J16</f>
        <v>776</v>
      </c>
      <c r="K54" s="116">
        <f t="shared" si="10"/>
        <v>496.06140350877195</v>
      </c>
      <c r="L54" s="116">
        <f t="shared" si="7"/>
        <v>496.06140350877195</v>
      </c>
      <c r="M54" s="110">
        <f t="shared" si="8"/>
        <v>330.70760233918145</v>
      </c>
      <c r="N54" s="6"/>
    </row>
    <row r="55" spans="1:14" ht="16.5" thickBot="1" x14ac:dyDescent="0.3">
      <c r="A55" s="103"/>
      <c r="B55" s="106"/>
      <c r="C55" s="98">
        <f>SUM(C51:C54)</f>
        <v>3993</v>
      </c>
      <c r="D55" s="105">
        <f>SUM(D51:D54)</f>
        <v>3993</v>
      </c>
      <c r="E55" s="106"/>
      <c r="F55" s="120"/>
      <c r="G55" s="106"/>
      <c r="H55" s="107"/>
      <c r="I55" s="121">
        <f>SUM(I51:I54)</f>
        <v>9230.9353070175439</v>
      </c>
      <c r="J55" s="107"/>
      <c r="K55" s="58">
        <f>SUM(K51:K54)</f>
        <v>7242.1780701754387</v>
      </c>
      <c r="L55" s="59">
        <f>SUM(L51:L54)</f>
        <v>7242.1780701754387</v>
      </c>
      <c r="M55" s="122">
        <f>SUM(M51:M54)</f>
        <v>4828.1187134502943</v>
      </c>
      <c r="N55" s="6"/>
    </row>
    <row r="56" spans="1:14" ht="15.75" x14ac:dyDescent="0.25">
      <c r="A56" s="123"/>
      <c r="B56" s="124"/>
      <c r="C56" s="125"/>
      <c r="D56" s="125"/>
      <c r="E56" s="124"/>
      <c r="F56" s="124"/>
      <c r="G56" s="124"/>
      <c r="H56" s="126"/>
      <c r="I56" s="127"/>
      <c r="J56" s="126"/>
      <c r="K56" s="128"/>
      <c r="L56" s="128"/>
      <c r="M56" s="129"/>
      <c r="N56" s="6"/>
    </row>
    <row r="57" spans="1:14" ht="15.75" x14ac:dyDescent="0.25">
      <c r="A57" s="106"/>
      <c r="B57" s="106"/>
      <c r="C57" s="105"/>
      <c r="D57" s="105"/>
      <c r="E57" s="106"/>
      <c r="F57" s="106"/>
      <c r="G57" s="106"/>
      <c r="H57" s="107"/>
      <c r="I57" s="108"/>
      <c r="J57" s="107"/>
      <c r="K57" s="109"/>
      <c r="L57" s="109"/>
      <c r="M57" s="109"/>
      <c r="N57" s="6"/>
    </row>
    <row r="58" spans="1:14" ht="15.75" x14ac:dyDescent="0.25">
      <c r="A58" s="106"/>
      <c r="B58" s="106"/>
      <c r="C58" s="105"/>
      <c r="D58" s="105"/>
      <c r="E58" s="106"/>
      <c r="F58" s="106"/>
      <c r="G58" s="106"/>
      <c r="H58" s="107"/>
      <c r="I58" s="108"/>
      <c r="J58" s="107"/>
      <c r="K58" s="109"/>
      <c r="L58" s="109"/>
      <c r="M58" s="109"/>
      <c r="N58" s="6"/>
    </row>
    <row r="59" spans="1:14" ht="16.5" thickBot="1" x14ac:dyDescent="0.3">
      <c r="A59" s="106"/>
      <c r="B59" s="106"/>
      <c r="C59" s="105"/>
      <c r="D59" s="105"/>
      <c r="E59" s="106"/>
      <c r="F59" s="106"/>
      <c r="G59" s="106"/>
      <c r="H59" s="107"/>
      <c r="I59" s="108"/>
      <c r="J59" s="107"/>
      <c r="K59" s="109"/>
      <c r="L59" s="109"/>
      <c r="M59" s="109"/>
      <c r="N59" s="6"/>
    </row>
    <row r="60" spans="1:14" ht="18.75" thickBot="1" x14ac:dyDescent="0.3">
      <c r="A60" s="130" t="s">
        <v>54</v>
      </c>
      <c r="B60" s="131"/>
      <c r="C60" s="132"/>
      <c r="D60" s="132"/>
      <c r="E60" s="131"/>
      <c r="F60" s="131"/>
      <c r="G60" s="131"/>
      <c r="H60" s="133"/>
      <c r="I60" s="121">
        <f>+I47+I40+I33+I18+I55</f>
        <v>66804.394605263165</v>
      </c>
      <c r="J60" s="133"/>
      <c r="K60" s="134">
        <f>+K47+K40+K33+K18+K55</f>
        <v>58713.625438596493</v>
      </c>
      <c r="L60" s="135">
        <f t="shared" ref="L60" si="11">+L47+L40+L33+L18+L55</f>
        <v>58713.625438596493</v>
      </c>
      <c r="M60" s="136">
        <f>+M47+M40+M33+M18+M55</f>
        <v>39142.416959064343</v>
      </c>
      <c r="N60" s="6"/>
    </row>
    <row r="61" spans="1:14" ht="14.25" thickBot="1" x14ac:dyDescent="0.3">
      <c r="A61" s="32"/>
      <c r="B61" s="33"/>
      <c r="C61" s="88"/>
      <c r="D61" s="88"/>
      <c r="E61" s="33"/>
      <c r="F61" s="33"/>
      <c r="G61" s="33"/>
      <c r="H61" s="34" t="s">
        <v>38</v>
      </c>
      <c r="I61" s="108">
        <f>+I41+I34</f>
        <v>10607.806000000002</v>
      </c>
      <c r="J61" s="34" t="s">
        <v>38</v>
      </c>
      <c r="K61" s="108">
        <f>+K41+K34</f>
        <v>9386.2333333333336</v>
      </c>
      <c r="L61" s="108">
        <f>+L41+L34</f>
        <v>9386.2333333333336</v>
      </c>
      <c r="M61" s="137">
        <f>+M41+M34</f>
        <v>6257.4888888888918</v>
      </c>
      <c r="N61" s="6"/>
    </row>
    <row r="62" spans="1:14" ht="14.25" thickBot="1" x14ac:dyDescent="0.3">
      <c r="A62" s="32"/>
      <c r="B62" s="33"/>
      <c r="C62" s="88"/>
      <c r="D62" s="88"/>
      <c r="E62" s="33"/>
      <c r="F62" s="33"/>
      <c r="G62" s="33"/>
      <c r="H62" s="34" t="s">
        <v>39</v>
      </c>
      <c r="I62" s="138">
        <f>+I60+I61</f>
        <v>77412.200605263162</v>
      </c>
      <c r="J62" s="34" t="s">
        <v>39</v>
      </c>
      <c r="K62" s="139">
        <f>+K60+K61</f>
        <v>68099.858771929823</v>
      </c>
      <c r="L62" s="140">
        <f>+L60+L61</f>
        <v>68099.858771929823</v>
      </c>
      <c r="M62" s="141">
        <f>+M60+M61</f>
        <v>45399.905847953232</v>
      </c>
      <c r="N62" s="6"/>
    </row>
    <row r="63" spans="1:14" x14ac:dyDescent="0.25">
      <c r="A63" s="32"/>
      <c r="B63" s="33"/>
      <c r="C63" s="88"/>
      <c r="D63" s="88"/>
      <c r="E63" s="33"/>
      <c r="F63" s="33"/>
      <c r="G63" s="33"/>
      <c r="H63" s="34"/>
      <c r="I63" s="64"/>
      <c r="J63" s="34"/>
      <c r="K63" s="64"/>
      <c r="L63" s="64"/>
      <c r="M63" s="75"/>
      <c r="N63" s="6"/>
    </row>
    <row r="64" spans="1:14" x14ac:dyDescent="0.25">
      <c r="A64" s="32"/>
      <c r="B64" s="33"/>
      <c r="C64" s="33"/>
      <c r="D64" s="33"/>
      <c r="E64" s="33"/>
      <c r="F64" s="33"/>
      <c r="G64" s="33"/>
      <c r="H64" s="34"/>
      <c r="I64" s="61"/>
      <c r="J64" s="34"/>
      <c r="K64" s="61"/>
      <c r="L64" s="61"/>
      <c r="M64" s="62"/>
      <c r="N64" s="6"/>
    </row>
    <row r="65" spans="1:14" x14ac:dyDescent="0.25">
      <c r="A65" s="32"/>
      <c r="B65" s="80" t="str">
        <f>+B37</f>
        <v>SAS NEGOCE JACQUES PARENT &amp; CIE</v>
      </c>
      <c r="C65" s="81"/>
      <c r="D65" s="81"/>
      <c r="E65" s="238" t="s">
        <v>55</v>
      </c>
      <c r="F65" s="239"/>
      <c r="G65" s="33"/>
      <c r="H65" s="34"/>
      <c r="I65" s="64" t="str">
        <f>I14</f>
        <v>Recolte 2019</v>
      </c>
      <c r="J65" s="34"/>
      <c r="K65" s="65" t="str">
        <f>K14</f>
        <v>Récolte 2020</v>
      </c>
      <c r="L65" s="65" t="str">
        <f>L14</f>
        <v>Récolte 2021</v>
      </c>
      <c r="M65" s="66" t="str">
        <f>M14</f>
        <v>PROV 8/12 2021</v>
      </c>
      <c r="N65" s="6"/>
    </row>
    <row r="66" spans="1:14" x14ac:dyDescent="0.25">
      <c r="A66" s="32" t="s">
        <v>56</v>
      </c>
      <c r="B66" s="33"/>
      <c r="C66" s="33"/>
      <c r="D66" s="33"/>
      <c r="E66" s="142">
        <v>1974</v>
      </c>
      <c r="F66" s="142" t="s">
        <v>57</v>
      </c>
      <c r="G66" s="33"/>
      <c r="H66" s="143" t="s">
        <v>58</v>
      </c>
      <c r="I66" s="61"/>
      <c r="J66" s="143" t="s">
        <v>58</v>
      </c>
      <c r="K66" s="61"/>
      <c r="L66" s="61"/>
      <c r="M66" s="62"/>
      <c r="N66" s="6"/>
    </row>
    <row r="67" spans="1:14" ht="14.25" thickBot="1" x14ac:dyDescent="0.3">
      <c r="A67" s="32" t="s">
        <v>1</v>
      </c>
      <c r="B67" s="33" t="s">
        <v>59</v>
      </c>
      <c r="C67" s="46">
        <v>0</v>
      </c>
      <c r="D67" s="46">
        <v>0</v>
      </c>
      <c r="E67" s="144">
        <v>291</v>
      </c>
      <c r="F67" s="145">
        <v>1770</v>
      </c>
      <c r="G67" s="82"/>
      <c r="H67" s="146">
        <v>366</v>
      </c>
      <c r="I67" s="49">
        <v>2173.36</v>
      </c>
      <c r="J67" s="146">
        <v>366</v>
      </c>
      <c r="K67" s="49">
        <f>+H67*F67/E67</f>
        <v>2226.1855670103091</v>
      </c>
      <c r="L67" s="49">
        <f>K67</f>
        <v>2226.1855670103091</v>
      </c>
      <c r="M67" s="67">
        <f>+K67*0.666666666666667</f>
        <v>1484.1237113402067</v>
      </c>
      <c r="N67" s="6"/>
    </row>
    <row r="68" spans="1:14" ht="16.5" thickBot="1" x14ac:dyDescent="0.3">
      <c r="A68" s="51"/>
      <c r="B68" s="83"/>
      <c r="C68" s="84">
        <f>C67</f>
        <v>0</v>
      </c>
      <c r="D68" s="84">
        <f>D67</f>
        <v>0</v>
      </c>
      <c r="E68" s="85"/>
      <c r="F68" s="85"/>
      <c r="G68" s="85"/>
      <c r="H68" s="147" t="str">
        <f>+H40</f>
        <v>HTVA</v>
      </c>
      <c r="I68" s="138">
        <f>I67</f>
        <v>2173.36</v>
      </c>
      <c r="J68" s="148" t="str">
        <f>+J40</f>
        <v>HTVA</v>
      </c>
      <c r="K68" s="58">
        <f>K67</f>
        <v>2226.1855670103091</v>
      </c>
      <c r="L68" s="59">
        <f>L67</f>
        <v>2226.1855670103091</v>
      </c>
      <c r="M68" s="60">
        <f>M67</f>
        <v>1484.1237113402067</v>
      </c>
      <c r="N68" s="6"/>
    </row>
    <row r="69" spans="1:14" x14ac:dyDescent="0.25">
      <c r="A69" s="32"/>
      <c r="B69" s="33"/>
      <c r="C69" s="88"/>
      <c r="D69" s="88"/>
      <c r="E69" s="33"/>
      <c r="F69" s="33"/>
      <c r="G69" s="33"/>
      <c r="H69" s="149" t="str">
        <f>+H41</f>
        <v>TVA</v>
      </c>
      <c r="I69" s="108">
        <f>+I68*20%</f>
        <v>434.67200000000003</v>
      </c>
      <c r="J69" s="149" t="str">
        <f>+J41</f>
        <v>TVA</v>
      </c>
      <c r="K69" s="108">
        <f>+K68*20%</f>
        <v>445.23711340206182</v>
      </c>
      <c r="L69" s="108">
        <f>+L68*20%</f>
        <v>445.23711340206182</v>
      </c>
      <c r="M69" s="137">
        <f>+M68*20%</f>
        <v>296.82474226804135</v>
      </c>
      <c r="N69" s="6"/>
    </row>
    <row r="70" spans="1:14" x14ac:dyDescent="0.25">
      <c r="A70" s="32"/>
      <c r="B70" s="33"/>
      <c r="C70" s="88"/>
      <c r="D70" s="88"/>
      <c r="E70" s="33"/>
      <c r="F70" s="33"/>
      <c r="G70" s="33"/>
      <c r="H70" s="149" t="str">
        <f>+H42</f>
        <v>TTC</v>
      </c>
      <c r="I70" s="76">
        <f>+I68+I69</f>
        <v>2608.0320000000002</v>
      </c>
      <c r="J70" s="149" t="str">
        <f>+J42</f>
        <v>TTC</v>
      </c>
      <c r="K70" s="77">
        <f>+K68+K69</f>
        <v>2671.4226804123709</v>
      </c>
      <c r="L70" s="78">
        <f>+L68+L69</f>
        <v>2671.4226804123709</v>
      </c>
      <c r="M70" s="79">
        <f>+M68+M69</f>
        <v>1780.948453608248</v>
      </c>
      <c r="N70" s="6"/>
    </row>
    <row r="71" spans="1:14" ht="14.25" thickBot="1" x14ac:dyDescent="0.3">
      <c r="A71" s="32"/>
      <c r="B71" s="33"/>
      <c r="C71" s="88"/>
      <c r="D71" s="88"/>
      <c r="E71" s="33"/>
      <c r="F71" s="33"/>
      <c r="G71" s="33"/>
      <c r="H71" s="34"/>
      <c r="I71" s="64"/>
      <c r="J71" s="34"/>
      <c r="K71" s="61"/>
      <c r="L71" s="61"/>
      <c r="M71" s="62"/>
      <c r="N71" s="6"/>
    </row>
    <row r="72" spans="1:14" s="160" customFormat="1" ht="18.75" thickBot="1" x14ac:dyDescent="0.3">
      <c r="A72" s="150"/>
      <c r="B72" s="151" t="s">
        <v>60</v>
      </c>
      <c r="C72" s="152">
        <f>C68+C47+C40+C33+C18+C55</f>
        <v>77314</v>
      </c>
      <c r="D72" s="152">
        <f>D68+D47+D40+D33+D18+D55</f>
        <v>77314</v>
      </c>
      <c r="E72" s="153"/>
      <c r="F72" s="153"/>
      <c r="G72" s="153"/>
      <c r="H72" s="154" t="s">
        <v>1</v>
      </c>
      <c r="I72" s="155">
        <f>I68+I47+I40+I33+I18+I55</f>
        <v>68977.754605263166</v>
      </c>
      <c r="J72" s="154" t="s">
        <v>1</v>
      </c>
      <c r="K72" s="156">
        <f>K68+K47+K40+K33+K18+K55</f>
        <v>60939.811005606804</v>
      </c>
      <c r="L72" s="157">
        <f>L68+L47+L40+L33+L18+L55</f>
        <v>60939.811005606804</v>
      </c>
      <c r="M72" s="158">
        <f>M60+M68</f>
        <v>40626.540670404553</v>
      </c>
      <c r="N72" s="159"/>
    </row>
    <row r="73" spans="1:14" ht="14.25" thickBot="1" x14ac:dyDescent="0.3">
      <c r="A73" s="32"/>
      <c r="B73" s="33"/>
      <c r="C73" s="88"/>
      <c r="D73" s="88"/>
      <c r="E73" s="33"/>
      <c r="F73" s="33"/>
      <c r="G73" s="33"/>
      <c r="H73" s="34" t="s">
        <v>38</v>
      </c>
      <c r="I73" s="64">
        <f>+I34+I41+I69</f>
        <v>11042.478000000003</v>
      </c>
      <c r="J73" s="34" t="s">
        <v>38</v>
      </c>
      <c r="K73" s="64">
        <f>+K34+K41+K69</f>
        <v>9831.4704467353949</v>
      </c>
      <c r="L73" s="64">
        <f>+L34+L41+L69</f>
        <v>9831.4704467353949</v>
      </c>
      <c r="M73" s="75">
        <f>+M69+M41+M34</f>
        <v>6554.3136311569324</v>
      </c>
      <c r="N73" s="6"/>
    </row>
    <row r="74" spans="1:14" ht="16.5" thickBot="1" x14ac:dyDescent="0.3">
      <c r="A74" s="32"/>
      <c r="B74" s="33"/>
      <c r="C74" s="88"/>
      <c r="D74" s="88"/>
      <c r="E74" s="33"/>
      <c r="F74" s="33"/>
      <c r="G74" s="33"/>
      <c r="H74" s="161" t="s">
        <v>39</v>
      </c>
      <c r="I74" s="121">
        <f>+I72+I73</f>
        <v>80020.232605263169</v>
      </c>
      <c r="J74" s="162" t="s">
        <v>39</v>
      </c>
      <c r="K74" s="58">
        <f>+K72+K73</f>
        <v>70771.281452342198</v>
      </c>
      <c r="L74" s="59">
        <f>+L72+L73</f>
        <v>70771.281452342198</v>
      </c>
      <c r="M74" s="60">
        <f>+M72+M73</f>
        <v>47180.854301561485</v>
      </c>
      <c r="N74" s="6"/>
    </row>
    <row r="75" spans="1:14" ht="14.25" thickBot="1" x14ac:dyDescent="0.3">
      <c r="A75" s="163"/>
      <c r="B75" s="164"/>
      <c r="C75" s="164"/>
      <c r="D75" s="164"/>
      <c r="E75" s="164"/>
      <c r="F75" s="164"/>
      <c r="G75" s="164"/>
      <c r="H75" s="165"/>
      <c r="I75" s="166"/>
      <c r="J75" s="165"/>
      <c r="K75" s="166"/>
      <c r="L75" s="166"/>
      <c r="M75" s="167"/>
      <c r="N75" s="6"/>
    </row>
    <row r="76" spans="1:14" ht="16.5" thickBot="1" x14ac:dyDescent="0.3">
      <c r="A76" s="168" t="s">
        <v>61</v>
      </c>
      <c r="B76" s="33"/>
      <c r="C76" s="169" t="s">
        <v>62</v>
      </c>
      <c r="D76" s="170" t="s">
        <v>63</v>
      </c>
      <c r="E76" s="171" t="s">
        <v>64</v>
      </c>
      <c r="F76" s="172" t="s">
        <v>65</v>
      </c>
      <c r="G76" s="173" t="s">
        <v>66</v>
      </c>
      <c r="H76" s="174"/>
      <c r="I76" s="175" t="str">
        <f>I14</f>
        <v>Recolte 2019</v>
      </c>
      <c r="J76" s="174"/>
      <c r="K76" s="175" t="str">
        <f>K14</f>
        <v>Récolte 2020</v>
      </c>
      <c r="L76" s="175" t="str">
        <f>L14</f>
        <v>Récolte 2021</v>
      </c>
      <c r="M76" s="176" t="str">
        <f>M14</f>
        <v>PROV 8/12 2021</v>
      </c>
      <c r="N76" s="6"/>
    </row>
    <row r="77" spans="1:14" x14ac:dyDescent="0.25">
      <c r="A77" s="32" t="s">
        <v>19</v>
      </c>
      <c r="B77" s="33"/>
      <c r="C77" s="177"/>
      <c r="D77" s="41"/>
      <c r="E77" s="178"/>
      <c r="F77" s="179"/>
      <c r="G77" s="180"/>
      <c r="H77" s="181"/>
      <c r="I77" s="182"/>
      <c r="J77" s="181"/>
      <c r="K77" s="182"/>
      <c r="L77" s="182"/>
      <c r="M77" s="182"/>
      <c r="N77" s="6"/>
    </row>
    <row r="78" spans="1:14" x14ac:dyDescent="0.25">
      <c r="A78" s="32" t="s">
        <v>67</v>
      </c>
      <c r="B78" s="33" t="s">
        <v>68</v>
      </c>
      <c r="C78" s="183">
        <f>C46+C39+C22+C16+C17+C54</f>
        <v>32314</v>
      </c>
      <c r="D78" s="184">
        <v>38469</v>
      </c>
      <c r="E78" s="185">
        <f>D78-C78</f>
        <v>6155</v>
      </c>
      <c r="F78" s="186">
        <v>1324</v>
      </c>
      <c r="G78" s="187">
        <f>+[3]SURFACES!C61+[3]SURFACES!C63</f>
        <v>4831</v>
      </c>
      <c r="H78" s="181"/>
      <c r="I78" s="49">
        <f>I46+I39+I22+I16+I17+I54</f>
        <v>7467.0214473684218</v>
      </c>
      <c r="J78" s="181"/>
      <c r="K78" s="49">
        <f>K46+K39+K22+K16+K17+K54</f>
        <v>7476.6578947368416</v>
      </c>
      <c r="L78" s="49">
        <f>L46+L39+L22+L16+L17+L54</f>
        <v>7476.6578947368416</v>
      </c>
      <c r="M78" s="49">
        <f>M46+M39+M22+M16+M17+M54</f>
        <v>4984.438596491229</v>
      </c>
      <c r="N78" s="61"/>
    </row>
    <row r="79" spans="1:14" x14ac:dyDescent="0.25">
      <c r="A79" s="32" t="s">
        <v>69</v>
      </c>
      <c r="B79" s="33" t="s">
        <v>70</v>
      </c>
      <c r="C79" s="188">
        <f>C23</f>
        <v>17488</v>
      </c>
      <c r="D79" s="184">
        <v>17488</v>
      </c>
      <c r="E79" s="189">
        <f t="shared" ref="E79:E86" si="12">D79-C79</f>
        <v>0</v>
      </c>
      <c r="F79" s="186"/>
      <c r="G79" s="190"/>
      <c r="H79" s="181"/>
      <c r="I79" s="49">
        <f>I23</f>
        <v>17557.07</v>
      </c>
      <c r="J79" s="181"/>
      <c r="K79" s="49">
        <f>K23</f>
        <v>15207.035087719298</v>
      </c>
      <c r="L79" s="49">
        <f>L23</f>
        <v>15207.035087719298</v>
      </c>
      <c r="M79" s="49">
        <f>M23</f>
        <v>10138.023391812869</v>
      </c>
      <c r="N79" s="61"/>
    </row>
    <row r="80" spans="1:14" x14ac:dyDescent="0.25">
      <c r="A80" s="32" t="s">
        <v>71</v>
      </c>
      <c r="B80" s="33" t="s">
        <v>27</v>
      </c>
      <c r="C80" s="188">
        <f>C24+C25</f>
        <v>4496</v>
      </c>
      <c r="D80" s="46">
        <v>4496</v>
      </c>
      <c r="E80" s="189">
        <f t="shared" si="12"/>
        <v>0</v>
      </c>
      <c r="F80" s="186"/>
      <c r="G80" s="190"/>
      <c r="H80" s="181"/>
      <c r="I80" s="49">
        <f>I24+I25</f>
        <v>4512.09</v>
      </c>
      <c r="J80" s="181"/>
      <c r="K80" s="49">
        <f>K24+K25</f>
        <v>3915.5964912280701</v>
      </c>
      <c r="L80" s="49">
        <f>L24+L25</f>
        <v>3915.5964912280701</v>
      </c>
      <c r="M80" s="49">
        <f>M24+M25</f>
        <v>2610.3976608187145</v>
      </c>
      <c r="N80" s="61"/>
    </row>
    <row r="81" spans="1:14" x14ac:dyDescent="0.25">
      <c r="A81" s="32" t="s">
        <v>72</v>
      </c>
      <c r="B81" s="33" t="s">
        <v>73</v>
      </c>
      <c r="C81" s="188">
        <f>SUM(C26+C27+C28+C29)</f>
        <v>14556</v>
      </c>
      <c r="D81" s="184">
        <v>14556</v>
      </c>
      <c r="E81" s="189">
        <f t="shared" si="12"/>
        <v>0</v>
      </c>
      <c r="F81" s="186"/>
      <c r="G81" s="190"/>
      <c r="H81" s="181"/>
      <c r="I81" s="49">
        <f>SUM(I26+I27+I28+I29)</f>
        <v>20192.39</v>
      </c>
      <c r="J81" s="181"/>
      <c r="K81" s="49">
        <f>SUM(K26+K27+K28+K29)</f>
        <v>17953.640350877191</v>
      </c>
      <c r="L81" s="49">
        <f>SUM(L26+L27+L28+L29)</f>
        <v>17953.640350877191</v>
      </c>
      <c r="M81" s="49">
        <f>SUM(M26+M27+M28+M29)</f>
        <v>11969.093567251468</v>
      </c>
      <c r="N81" s="61"/>
    </row>
    <row r="82" spans="1:14" x14ac:dyDescent="0.25">
      <c r="A82" s="32" t="s">
        <v>72</v>
      </c>
      <c r="B82" s="33" t="s">
        <v>74</v>
      </c>
      <c r="C82" s="188">
        <f>C31+C30</f>
        <v>5792</v>
      </c>
      <c r="D82" s="184">
        <v>5792</v>
      </c>
      <c r="E82" s="189">
        <f t="shared" si="12"/>
        <v>0</v>
      </c>
      <c r="F82" s="186"/>
      <c r="G82" s="187"/>
      <c r="H82" s="181"/>
      <c r="I82" s="49">
        <f>I31+I30</f>
        <v>8340.31</v>
      </c>
      <c r="J82" s="181"/>
      <c r="K82" s="49">
        <f>K31+K30</f>
        <v>7414.5789473684217</v>
      </c>
      <c r="L82" s="49">
        <f>L31+L30</f>
        <v>7414.5789473684217</v>
      </c>
      <c r="M82" s="49">
        <f>M31+M30</f>
        <v>4943.0526315789502</v>
      </c>
      <c r="N82" s="61"/>
    </row>
    <row r="83" spans="1:14" x14ac:dyDescent="0.25">
      <c r="A83" s="32" t="s">
        <v>75</v>
      </c>
      <c r="B83" s="33" t="s">
        <v>76</v>
      </c>
      <c r="C83" s="188">
        <f>+C52</f>
        <v>422</v>
      </c>
      <c r="D83" s="184">
        <v>1431</v>
      </c>
      <c r="E83" s="185">
        <f t="shared" si="12"/>
        <v>1009</v>
      </c>
      <c r="F83" s="186">
        <v>708</v>
      </c>
      <c r="G83" s="187">
        <f>+[3]SURFACES!C59</f>
        <v>301</v>
      </c>
      <c r="H83" s="181"/>
      <c r="I83" s="49">
        <f>+I52</f>
        <v>3694.52</v>
      </c>
      <c r="J83" s="181"/>
      <c r="K83" s="49">
        <f>+K52</f>
        <v>1593.5497368421054</v>
      </c>
      <c r="L83" s="49">
        <f>L52</f>
        <v>1593.5497368421054</v>
      </c>
      <c r="M83" s="49">
        <f>+M52</f>
        <v>1062.3664912280708</v>
      </c>
      <c r="N83" s="61"/>
    </row>
    <row r="84" spans="1:14" x14ac:dyDescent="0.25">
      <c r="A84" s="32" t="s">
        <v>77</v>
      </c>
      <c r="B84" s="33" t="s">
        <v>78</v>
      </c>
      <c r="C84" s="188">
        <f>+C53</f>
        <v>934</v>
      </c>
      <c r="D84" s="184">
        <v>2594</v>
      </c>
      <c r="E84" s="185">
        <f t="shared" si="12"/>
        <v>1660</v>
      </c>
      <c r="F84" s="186">
        <v>726</v>
      </c>
      <c r="G84" s="187">
        <f>+[3]SURFACES!C60</f>
        <v>934</v>
      </c>
      <c r="H84" s="181"/>
      <c r="I84" s="49">
        <f>+I53</f>
        <v>3731.9854385964909</v>
      </c>
      <c r="J84" s="181"/>
      <c r="K84" s="49">
        <f>+K53</f>
        <v>3950.533245614035</v>
      </c>
      <c r="L84" s="49">
        <f>K53</f>
        <v>3950.533245614035</v>
      </c>
      <c r="M84" s="49">
        <f>+M53</f>
        <v>2633.6888304093577</v>
      </c>
      <c r="N84" s="61"/>
    </row>
    <row r="85" spans="1:14" x14ac:dyDescent="0.25">
      <c r="A85" s="32" t="s">
        <v>79</v>
      </c>
      <c r="B85" s="33" t="s">
        <v>80</v>
      </c>
      <c r="C85" s="188">
        <f>+C51</f>
        <v>1312</v>
      </c>
      <c r="D85" s="184">
        <v>3936</v>
      </c>
      <c r="E85" s="185">
        <f t="shared" si="12"/>
        <v>2624</v>
      </c>
      <c r="F85" s="186">
        <v>1312</v>
      </c>
      <c r="G85" s="187">
        <v>1312</v>
      </c>
      <c r="H85" s="181"/>
      <c r="I85" s="49">
        <f>+I51</f>
        <v>1309.0077192982455</v>
      </c>
      <c r="J85" s="181"/>
      <c r="K85" s="49">
        <f>+K51</f>
        <v>1202.0336842105262</v>
      </c>
      <c r="L85" s="49">
        <f>K51</f>
        <v>1202.0336842105262</v>
      </c>
      <c r="M85" s="49">
        <f>+M51</f>
        <v>801.35578947368447</v>
      </c>
      <c r="N85" s="61"/>
    </row>
    <row r="86" spans="1:14" x14ac:dyDescent="0.25">
      <c r="A86" s="32" t="s">
        <v>81</v>
      </c>
      <c r="B86" s="33" t="s">
        <v>82</v>
      </c>
      <c r="C86" s="191">
        <v>0</v>
      </c>
      <c r="D86" s="192">
        <v>3552</v>
      </c>
      <c r="E86" s="193">
        <f t="shared" si="12"/>
        <v>3552</v>
      </c>
      <c r="F86" s="186"/>
      <c r="G86" s="187">
        <f>+[3]SURFACES!C62</f>
        <v>3552</v>
      </c>
      <c r="H86" s="181"/>
      <c r="I86" s="194">
        <v>0</v>
      </c>
      <c r="J86" s="181"/>
      <c r="K86" s="194">
        <v>0</v>
      </c>
      <c r="L86" s="194">
        <v>0</v>
      </c>
      <c r="M86" s="194">
        <v>0</v>
      </c>
      <c r="N86" s="61"/>
    </row>
    <row r="87" spans="1:14" ht="18.75" thickBot="1" x14ac:dyDescent="0.3">
      <c r="A87" s="32"/>
      <c r="B87" s="33"/>
      <c r="C87" s="191"/>
      <c r="D87" s="192"/>
      <c r="E87" s="193"/>
      <c r="F87" s="186"/>
      <c r="G87" s="187"/>
      <c r="H87" s="181" t="s">
        <v>83</v>
      </c>
      <c r="I87" s="195">
        <f>SUM(I77:I85)</f>
        <v>66804.394605263151</v>
      </c>
      <c r="J87" s="61">
        <f t="shared" ref="J87:M87" si="13">SUM(J77:J85)</f>
        <v>0</v>
      </c>
      <c r="K87" s="196">
        <f t="shared" si="13"/>
        <v>58713.625438596478</v>
      </c>
      <c r="L87" s="197">
        <f t="shared" si="13"/>
        <v>58713.625438596478</v>
      </c>
      <c r="M87" s="198">
        <f t="shared" si="13"/>
        <v>39142.416959064351</v>
      </c>
      <c r="N87" s="6"/>
    </row>
    <row r="88" spans="1:14" ht="14.25" thickBot="1" x14ac:dyDescent="0.3">
      <c r="A88" s="32" t="s">
        <v>84</v>
      </c>
      <c r="B88" s="33"/>
      <c r="C88" s="188"/>
      <c r="D88" s="46"/>
      <c r="E88" s="199"/>
      <c r="F88" s="200"/>
      <c r="G88" s="190"/>
      <c r="H88" s="201"/>
      <c r="I88" s="49"/>
      <c r="J88" s="201"/>
      <c r="K88" s="49"/>
      <c r="L88" s="49"/>
      <c r="M88" s="67"/>
      <c r="N88" s="6"/>
    </row>
    <row r="89" spans="1:14" ht="16.5" thickBot="1" x14ac:dyDescent="0.3">
      <c r="A89" s="32"/>
      <c r="B89" s="33" t="s">
        <v>85</v>
      </c>
      <c r="C89" s="188" t="s">
        <v>1</v>
      </c>
      <c r="D89" s="46" t="s">
        <v>1</v>
      </c>
      <c r="E89" s="199"/>
      <c r="F89" s="200"/>
      <c r="G89" s="190"/>
      <c r="H89" s="181" t="s">
        <v>84</v>
      </c>
      <c r="I89" s="202">
        <f>I68</f>
        <v>2173.36</v>
      </c>
      <c r="J89" s="203"/>
      <c r="K89" s="202">
        <f>K68</f>
        <v>2226.1855670103091</v>
      </c>
      <c r="L89" s="202">
        <f>L68</f>
        <v>2226.1855670103091</v>
      </c>
      <c r="M89" s="202">
        <f>M68</f>
        <v>1484.1237113402067</v>
      </c>
      <c r="N89" s="6"/>
    </row>
    <row r="90" spans="1:14" ht="21" thickBot="1" x14ac:dyDescent="0.35">
      <c r="A90" s="21"/>
      <c r="B90" s="131"/>
      <c r="C90" s="204">
        <f>SUM(C78:C89)</f>
        <v>77314</v>
      </c>
      <c r="D90" s="205">
        <f>SUM(D78:D89)</f>
        <v>92314</v>
      </c>
      <c r="E90" s="206">
        <f>SUM(E78:E89)</f>
        <v>15000</v>
      </c>
      <c r="F90" s="207">
        <f>SUM(F76:F89)</f>
        <v>4070</v>
      </c>
      <c r="G90" s="208">
        <f>SUM(G76:G88)</f>
        <v>10930</v>
      </c>
      <c r="H90" s="209"/>
      <c r="I90" s="195">
        <f>I87+I89</f>
        <v>68977.754605263151</v>
      </c>
      <c r="J90" s="209"/>
      <c r="K90" s="210">
        <f>K87+K89</f>
        <v>60939.811005606789</v>
      </c>
      <c r="L90" s="211">
        <f>L87+L89</f>
        <v>60939.811005606789</v>
      </c>
      <c r="M90" s="212">
        <f>M87+M89</f>
        <v>40626.54067040456</v>
      </c>
      <c r="N90" s="6"/>
    </row>
    <row r="91" spans="1:14" x14ac:dyDescent="0.25">
      <c r="A91" s="3" t="s">
        <v>86</v>
      </c>
      <c r="B91" s="3"/>
      <c r="C91" s="213">
        <f>+[3]SURFACES!E50</f>
        <v>4070</v>
      </c>
      <c r="D91" s="214"/>
      <c r="E91" s="3"/>
      <c r="F91" s="240">
        <f>+F90+G90</f>
        <v>15000</v>
      </c>
      <c r="G91" s="240"/>
      <c r="H91" s="4"/>
      <c r="I91" s="215"/>
      <c r="J91" s="4"/>
      <c r="K91" s="216"/>
      <c r="L91" s="216"/>
      <c r="M91" s="216"/>
      <c r="N91" s="6"/>
    </row>
    <row r="92" spans="1:14" ht="14.25" thickBot="1" x14ac:dyDescent="0.3">
      <c r="A92" s="3" t="s">
        <v>87</v>
      </c>
      <c r="B92" s="3"/>
      <c r="C92" s="213">
        <f>+[3]SURFACES!C64</f>
        <v>10930</v>
      </c>
      <c r="D92" s="214"/>
      <c r="E92" s="3"/>
      <c r="F92" s="3"/>
      <c r="G92" s="3"/>
      <c r="H92" s="4"/>
      <c r="I92" s="216"/>
      <c r="J92" s="4"/>
      <c r="K92" s="216"/>
      <c r="L92" s="216"/>
      <c r="M92" s="216"/>
      <c r="N92" s="6"/>
    </row>
    <row r="93" spans="1:14" ht="19.5" thickBot="1" x14ac:dyDescent="0.35">
      <c r="A93" s="6" t="s">
        <v>88</v>
      </c>
      <c r="B93" s="6"/>
      <c r="C93" s="217">
        <f>+C90+C91+C92</f>
        <v>92314</v>
      </c>
      <c r="D93" s="218"/>
      <c r="E93" s="6"/>
      <c r="F93" s="6"/>
      <c r="G93" s="6"/>
      <c r="H93" s="14"/>
      <c r="I93" s="6"/>
      <c r="J93" s="219">
        <v>613160</v>
      </c>
      <c r="K93" s="220">
        <f>+K60</f>
        <v>58713.625438596493</v>
      </c>
      <c r="L93" s="221">
        <f>+L60</f>
        <v>58713.625438596493</v>
      </c>
      <c r="M93" s="222">
        <f>+M60</f>
        <v>39142.416959064343</v>
      </c>
      <c r="N93" s="6"/>
    </row>
    <row r="94" spans="1:14" ht="19.5" thickBot="1" x14ac:dyDescent="0.35">
      <c r="A94" s="6"/>
      <c r="B94" s="6"/>
      <c r="C94" s="223"/>
      <c r="D94" s="218"/>
      <c r="E94" s="6"/>
      <c r="F94" s="6"/>
      <c r="G94" s="6"/>
      <c r="H94" s="14"/>
      <c r="I94" s="6"/>
      <c r="J94" s="219">
        <v>613860</v>
      </c>
      <c r="K94" s="220">
        <f>K89</f>
        <v>2226.1855670103091</v>
      </c>
      <c r="L94" s="221">
        <f>L89</f>
        <v>2226.1855670103091</v>
      </c>
      <c r="M94" s="224">
        <f>M89</f>
        <v>1484.1237113402067</v>
      </c>
      <c r="N94" s="6"/>
    </row>
    <row r="95" spans="1:14" ht="16.5" thickBot="1" x14ac:dyDescent="0.3">
      <c r="A95" s="241" t="s">
        <v>89</v>
      </c>
      <c r="B95" s="242"/>
      <c r="C95" s="225">
        <f>+D90</f>
        <v>92314</v>
      </c>
      <c r="D95" s="226"/>
      <c r="E95" s="6"/>
      <c r="F95" s="6"/>
      <c r="G95" s="6"/>
      <c r="H95" s="14"/>
      <c r="I95" s="6"/>
      <c r="J95" s="14"/>
      <c r="K95" s="227">
        <v>2020</v>
      </c>
      <c r="L95" s="227">
        <v>2021</v>
      </c>
      <c r="M95" s="228" t="s">
        <v>90</v>
      </c>
      <c r="N95" s="6"/>
    </row>
    <row r="96" spans="1:14" ht="18" thickBot="1" x14ac:dyDescent="0.3">
      <c r="A96" s="229" t="s">
        <v>64</v>
      </c>
      <c r="B96" s="6"/>
      <c r="C96" s="230">
        <f>+C93-C95</f>
        <v>0</v>
      </c>
      <c r="D96" s="231"/>
      <c r="E96" s="6"/>
      <c r="F96" s="6"/>
      <c r="G96" s="6"/>
      <c r="H96" s="14"/>
      <c r="I96" s="6"/>
      <c r="J96" s="14"/>
      <c r="K96" s="6"/>
      <c r="L96" s="6"/>
      <c r="M96" s="6"/>
      <c r="N96" s="6"/>
    </row>
    <row r="97" spans="1:14" x14ac:dyDescent="0.25">
      <c r="A97" s="6"/>
      <c r="B97" s="6"/>
      <c r="C97" s="6"/>
      <c r="D97" s="6"/>
      <c r="E97" s="6"/>
      <c r="F97" s="6"/>
      <c r="G97" s="6"/>
      <c r="H97" s="14"/>
      <c r="I97" s="6"/>
      <c r="J97" s="14"/>
      <c r="K97" s="6"/>
      <c r="L97" s="6"/>
      <c r="M97" s="6"/>
      <c r="N97" s="6"/>
    </row>
  </sheetData>
  <mergeCells count="5">
    <mergeCell ref="A6:M6"/>
    <mergeCell ref="D11:J11"/>
    <mergeCell ref="E65:F65"/>
    <mergeCell ref="F91:G91"/>
    <mergeCell ref="A95:B95"/>
  </mergeCells>
  <printOptions horizontalCentered="1" verticalCentered="1"/>
  <pageMargins left="0" right="0" top="0.74803149606299213" bottom="0.74803149606299213" header="0.31496062992125984" footer="0.31496062992125984"/>
  <pageSetup paperSize="9" scale="43" orientation="portrait" r:id="rId1"/>
  <headerFooter>
    <oddFooter>&amp;LCERFRANCE-S-BUELYHA&amp;C&amp;D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FERM-REELS-2020</vt:lpstr>
      <vt:lpstr>'FERM-REELS-2020'!Zone_d_impression</vt:lpstr>
    </vt:vector>
  </TitlesOfParts>
  <Company>Cerfrance Bfc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BUELYHA Sophie</dc:creator>
  <cp:lastModifiedBy>corinne21630@outlook.fr</cp:lastModifiedBy>
  <dcterms:created xsi:type="dcterms:W3CDTF">2022-04-21T09:41:57Z</dcterms:created>
  <dcterms:modified xsi:type="dcterms:W3CDTF">2022-04-21T12:01:10Z</dcterms:modified>
</cp:coreProperties>
</file>