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AFG\MISES EN BT\"/>
    </mc:Choice>
  </mc:AlternateContent>
  <xr:revisionPtr revIDLastSave="0" documentId="13_ncr:1_{1AF6E0A9-155B-409E-8479-9813A6D557FC}" xr6:coauthVersionLast="47" xr6:coauthVersionMax="47" xr10:uidLastSave="{00000000-0000-0000-0000-000000000000}"/>
  <bookViews>
    <workbookView xWindow="38290" yWindow="-110" windowWidth="38620" windowHeight="21100" xr2:uid="{F5F19158-726B-4B2B-8332-CED03C1D5589}"/>
  </bookViews>
  <sheets>
    <sheet name="Feuil1" sheetId="1" r:id="rId1"/>
    <sheet name="Feuil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6" i="1" l="1"/>
  <c r="G106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88" i="1"/>
  <c r="F89" i="1"/>
  <c r="F90" i="1"/>
  <c r="F91" i="1"/>
  <c r="F92" i="1"/>
  <c r="F93" i="1"/>
  <c r="F94" i="1"/>
  <c r="F95" i="1"/>
  <c r="F96" i="1"/>
  <c r="F97" i="1"/>
  <c r="F98" i="1"/>
  <c r="F99" i="1"/>
  <c r="F100" i="1"/>
  <c r="F103" i="1"/>
  <c r="F104" i="1"/>
  <c r="F105" i="1"/>
  <c r="F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88" i="1"/>
  <c r="K48" i="1"/>
  <c r="I48" i="1"/>
  <c r="J48" i="1" s="1"/>
  <c r="G48" i="1"/>
  <c r="H6" i="2"/>
  <c r="H7" i="2"/>
  <c r="H8" i="2"/>
  <c r="H9" i="2"/>
  <c r="H10" i="2"/>
  <c r="H11" i="2"/>
  <c r="H12" i="2"/>
  <c r="H13" i="2"/>
  <c r="H14" i="2"/>
  <c r="H15" i="2"/>
  <c r="H16" i="2"/>
  <c r="H17" i="2"/>
  <c r="H20" i="2"/>
  <c r="H21" i="2"/>
  <c r="H22" i="2"/>
  <c r="H5" i="2"/>
  <c r="C23" i="2"/>
  <c r="D23" i="2" s="1"/>
  <c r="B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M42" i="1"/>
  <c r="T57" i="1"/>
  <c r="T54" i="1"/>
  <c r="T52" i="1"/>
  <c r="T51" i="1"/>
  <c r="T50" i="1"/>
  <c r="T49" i="1"/>
  <c r="T47" i="1"/>
  <c r="T46" i="1"/>
  <c r="T40" i="1"/>
  <c r="T39" i="1"/>
  <c r="E72" i="1"/>
  <c r="N72" i="1" s="1"/>
  <c r="E73" i="1"/>
  <c r="N73" i="1" s="1"/>
  <c r="E74" i="1"/>
  <c r="N74" i="1" s="1"/>
  <c r="E75" i="1"/>
  <c r="N75" i="1" s="1"/>
  <c r="E76" i="1"/>
  <c r="E77" i="1"/>
  <c r="N77" i="1" s="1"/>
  <c r="E78" i="1"/>
  <c r="N78" i="1" s="1"/>
  <c r="E71" i="1"/>
  <c r="N71" i="1" s="1"/>
  <c r="T41" i="1"/>
  <c r="T42" i="1"/>
  <c r="T43" i="1"/>
  <c r="T44" i="1"/>
  <c r="T45" i="1"/>
  <c r="T53" i="1"/>
  <c r="T55" i="1"/>
  <c r="T56" i="1"/>
  <c r="N76" i="1"/>
  <c r="F57" i="1"/>
  <c r="G57" i="1" s="1"/>
  <c r="K57" i="1" s="1"/>
  <c r="M57" i="1" s="1"/>
  <c r="F56" i="1"/>
  <c r="G56" i="1" s="1"/>
  <c r="K56" i="1" s="1"/>
  <c r="M56" i="1" s="1"/>
  <c r="F55" i="1"/>
  <c r="G55" i="1" s="1"/>
  <c r="K55" i="1" s="1"/>
  <c r="M55" i="1" s="1"/>
  <c r="F54" i="1"/>
  <c r="G54" i="1" s="1"/>
  <c r="K54" i="1" s="1"/>
  <c r="M54" i="1" s="1"/>
  <c r="F53" i="1"/>
  <c r="G53" i="1" s="1"/>
  <c r="K53" i="1" s="1"/>
  <c r="M53" i="1" s="1"/>
  <c r="F52" i="1"/>
  <c r="G52" i="1" s="1"/>
  <c r="K52" i="1" s="1"/>
  <c r="M52" i="1" s="1"/>
  <c r="F51" i="1"/>
  <c r="G51" i="1" s="1"/>
  <c r="K51" i="1" s="1"/>
  <c r="M51" i="1" s="1"/>
  <c r="F50" i="1"/>
  <c r="G50" i="1" s="1"/>
  <c r="K50" i="1" s="1"/>
  <c r="M50" i="1" s="1"/>
  <c r="F49" i="1"/>
  <c r="G49" i="1" s="1"/>
  <c r="K49" i="1" s="1"/>
  <c r="M49" i="1" s="1"/>
  <c r="F47" i="1"/>
  <c r="G47" i="1" s="1"/>
  <c r="K47" i="1" s="1"/>
  <c r="M47" i="1" s="1"/>
  <c r="F46" i="1"/>
  <c r="G46" i="1" s="1"/>
  <c r="K46" i="1" s="1"/>
  <c r="M46" i="1" s="1"/>
  <c r="F45" i="1"/>
  <c r="G45" i="1" s="1"/>
  <c r="K45" i="1" s="1"/>
  <c r="M45" i="1" s="1"/>
  <c r="F44" i="1"/>
  <c r="G44" i="1" s="1"/>
  <c r="K44" i="1" s="1"/>
  <c r="M44" i="1" s="1"/>
  <c r="F43" i="1"/>
  <c r="G43" i="1" s="1"/>
  <c r="K43" i="1" s="1"/>
  <c r="M43" i="1" s="1"/>
  <c r="F42" i="1"/>
  <c r="G42" i="1" s="1"/>
  <c r="K42" i="1" s="1"/>
  <c r="F41" i="1"/>
  <c r="G41" i="1" s="1"/>
  <c r="K41" i="1" s="1"/>
  <c r="M41" i="1" s="1"/>
  <c r="F40" i="1"/>
  <c r="G40" i="1" s="1"/>
  <c r="K40" i="1" s="1"/>
  <c r="M40" i="1" s="1"/>
  <c r="F39" i="1"/>
  <c r="G39" i="1" s="1"/>
  <c r="K39" i="1" s="1"/>
  <c r="M39" i="1" s="1"/>
  <c r="D80" i="1"/>
  <c r="C82" i="1" s="1"/>
  <c r="D32" i="1"/>
  <c r="E32" i="1" s="1"/>
  <c r="D29" i="1"/>
  <c r="C61" i="1" s="1"/>
  <c r="K61" i="1" s="1"/>
  <c r="D27" i="1"/>
  <c r="C62" i="1" s="1"/>
  <c r="E24" i="1"/>
  <c r="E23" i="1"/>
  <c r="E22" i="1"/>
  <c r="E21" i="1"/>
  <c r="E20" i="1"/>
  <c r="E19" i="1"/>
  <c r="E18" i="1"/>
  <c r="E17" i="1"/>
  <c r="E16" i="1"/>
  <c r="E12" i="1"/>
  <c r="E11" i="1"/>
  <c r="E10" i="1"/>
  <c r="E8" i="1"/>
  <c r="E7" i="1"/>
  <c r="E27" i="1" l="1"/>
  <c r="E29" i="1"/>
  <c r="M58" i="1"/>
  <c r="K58" i="1"/>
  <c r="H49" i="1"/>
  <c r="I49" i="1" s="1"/>
  <c r="J49" i="1" s="1"/>
  <c r="H43" i="1"/>
  <c r="I43" i="1" s="1"/>
  <c r="J43" i="1" s="1"/>
  <c r="H56" i="1"/>
  <c r="I56" i="1" s="1"/>
  <c r="J56" i="1" s="1"/>
  <c r="H42" i="1"/>
  <c r="I42" i="1" s="1"/>
  <c r="J42" i="1" s="1"/>
  <c r="D14" i="1"/>
  <c r="E14" i="1" s="1"/>
  <c r="H39" i="1"/>
  <c r="I39" i="1" s="1"/>
  <c r="J39" i="1" s="1"/>
  <c r="H55" i="1"/>
  <c r="I55" i="1" s="1"/>
  <c r="J55" i="1" s="1"/>
  <c r="H50" i="1"/>
  <c r="I50" i="1" s="1"/>
  <c r="J50" i="1" s="1"/>
  <c r="H45" i="1"/>
  <c r="I45" i="1" s="1"/>
  <c r="J45" i="1" s="1"/>
  <c r="H57" i="1"/>
  <c r="I57" i="1" s="1"/>
  <c r="J57" i="1" s="1"/>
  <c r="H44" i="1"/>
  <c r="I44" i="1" s="1"/>
  <c r="J44" i="1" s="1"/>
  <c r="H41" i="1"/>
  <c r="I41" i="1" s="1"/>
  <c r="J41" i="1" s="1"/>
  <c r="H53" i="1"/>
  <c r="I53" i="1" s="1"/>
  <c r="J53" i="1" s="1"/>
  <c r="H40" i="1"/>
  <c r="I40" i="1" s="1"/>
  <c r="J40" i="1" s="1"/>
  <c r="H54" i="1"/>
  <c r="I54" i="1" s="1"/>
  <c r="J54" i="1" s="1"/>
  <c r="H52" i="1"/>
  <c r="I52" i="1" s="1"/>
  <c r="J52" i="1" s="1"/>
  <c r="D13" i="1"/>
  <c r="E13" i="1" s="1"/>
  <c r="H51" i="1"/>
  <c r="I51" i="1" s="1"/>
  <c r="J51" i="1" s="1"/>
  <c r="F61" i="1"/>
  <c r="F62" i="1"/>
  <c r="H47" i="1"/>
  <c r="I47" i="1" s="1"/>
  <c r="J47" i="1" s="1"/>
  <c r="F63" i="1"/>
  <c r="H46" i="1"/>
  <c r="I46" i="1" s="1"/>
  <c r="J46" i="1" s="1"/>
  <c r="C63" i="1"/>
  <c r="D15" i="1"/>
  <c r="E15" i="1" s="1"/>
  <c r="D79" i="1"/>
  <c r="E79" i="1" s="1"/>
  <c r="N79" i="1" s="1"/>
  <c r="D9" i="1" l="1"/>
  <c r="E9" i="1" s="1"/>
  <c r="E25" i="1" s="1"/>
</calcChain>
</file>

<file path=xl/sharedStrings.xml><?xml version="1.0" encoding="utf-8"?>
<sst xmlns="http://schemas.openxmlformats.org/spreadsheetml/2006/main" count="192" uniqueCount="107">
  <si>
    <t>CALCUL DES USURES DOMAINE</t>
  </si>
  <si>
    <t>Tirage en Bt</t>
  </si>
  <si>
    <t>Beaune 1er cru les montrevenots</t>
  </si>
  <si>
    <t>Beaune 1er cru les boucherottes</t>
  </si>
  <si>
    <t>Bourgogne Pinot noir</t>
  </si>
  <si>
    <t>usure</t>
  </si>
  <si>
    <t>Chambolle musiny</t>
  </si>
  <si>
    <t>Clos Vougeot</t>
  </si>
  <si>
    <t>Echezeaux</t>
  </si>
  <si>
    <t>Bourgogne Hautes Cotes de Nuits rouge</t>
  </si>
  <si>
    <t>Bourgogne Hautes Cotes de Nuits blancs</t>
  </si>
  <si>
    <t>Moulin a vent</t>
  </si>
  <si>
    <t>Pommard 1er cru les Arvelets</t>
  </si>
  <si>
    <t>Pommard 1er cru les chanlins</t>
  </si>
  <si>
    <t>Pommard 1er cru les pezerolles</t>
  </si>
  <si>
    <t>Richebourg</t>
  </si>
  <si>
    <t>Savigny 1er cru le clos des Guettes</t>
  </si>
  <si>
    <t>Signature VSIG</t>
  </si>
  <si>
    <t>Vosne Romanée aux reas</t>
  </si>
  <si>
    <t>Vosne romanée maizieres</t>
  </si>
  <si>
    <t>Vosne romanée les Chalandins</t>
  </si>
  <si>
    <t>BG</t>
  </si>
  <si>
    <t>HN</t>
  </si>
  <si>
    <t>Total gamay</t>
  </si>
  <si>
    <t xml:space="preserve"> avant usure</t>
  </si>
  <si>
    <t>En Litres</t>
  </si>
  <si>
    <t>Recolte nette des ventes</t>
  </si>
  <si>
    <t>Avant usure</t>
  </si>
  <si>
    <t>Quantités en Litres</t>
  </si>
  <si>
    <t xml:space="preserve">Savigny les beaune </t>
  </si>
  <si>
    <t>Monthelie</t>
  </si>
  <si>
    <t>Gevrey Chambertin</t>
  </si>
  <si>
    <t>Gevrey 1er cru combe au moine</t>
  </si>
  <si>
    <t>Aloxe corton 1er cru les Valozieres</t>
  </si>
  <si>
    <t>Volnay 1er cru les brouillards</t>
  </si>
  <si>
    <t>Chambolle Musigny1er cru Aux Echanges</t>
  </si>
  <si>
    <t>Corton Grand cu rouge</t>
  </si>
  <si>
    <t>Bourgogne</t>
  </si>
  <si>
    <t>Total en litres</t>
  </si>
  <si>
    <t>Usure</t>
  </si>
  <si>
    <t>litres</t>
  </si>
  <si>
    <t>A prendre sur BG</t>
  </si>
  <si>
    <t>Reste a embouteiller</t>
  </si>
  <si>
    <t>MOUL</t>
  </si>
  <si>
    <t>HNB</t>
  </si>
  <si>
    <t>Ote 12% pour les GC</t>
  </si>
  <si>
    <t>Objectif</t>
  </si>
  <si>
    <t>en litres</t>
  </si>
  <si>
    <t xml:space="preserve">Ote 3% de pertes </t>
  </si>
  <si>
    <t>Mise</t>
  </si>
  <si>
    <t>usure dec</t>
  </si>
  <si>
    <t>usure totale</t>
  </si>
  <si>
    <t>reste pour mise</t>
  </si>
  <si>
    <t>En BT</t>
  </si>
  <si>
    <t>En BT ou eq bt</t>
  </si>
  <si>
    <t>PROJECTION</t>
  </si>
  <si>
    <t>je decide</t>
  </si>
  <si>
    <t>En %</t>
  </si>
  <si>
    <t>Total blanc</t>
  </si>
  <si>
    <t>toatl rouge</t>
  </si>
  <si>
    <t>Pour juillet je fais 228l et on ajustera en decembre</t>
  </si>
  <si>
    <t>Usure 3%</t>
  </si>
  <si>
    <t>Lie prévue</t>
  </si>
  <si>
    <t>3l/fut</t>
  </si>
  <si>
    <t>reste apres usure</t>
  </si>
  <si>
    <t>A minima</t>
  </si>
  <si>
    <t>ATTENTION COMMANDE DE 600 BOUCHONS NEUTRES FLORA</t>
  </si>
  <si>
    <t>ATTENTION COMMANDE DE 1800 BOUCHONS NEUTRES POUR FLORA</t>
  </si>
  <si>
    <t>Alloués au 04/09/24</t>
  </si>
  <si>
    <t xml:space="preserve">Resterait </t>
  </si>
  <si>
    <t>Solde</t>
  </si>
  <si>
    <t>GRAND FORMATS</t>
  </si>
  <si>
    <t>X</t>
  </si>
  <si>
    <t>Je prends encore 3L de lie</t>
  </si>
  <si>
    <t>ALLOUES AU 19/11/2024</t>
  </si>
  <si>
    <t>recolte 2024</t>
  </si>
  <si>
    <t xml:space="preserve">Pour juillet 25 je propose </t>
  </si>
  <si>
    <t>usure juil 25</t>
  </si>
  <si>
    <t>Nb de Bt</t>
  </si>
  <si>
    <t>estimation</t>
  </si>
  <si>
    <t>A minma</t>
  </si>
  <si>
    <t>A maxima</t>
  </si>
  <si>
    <t>Recapitulatif de 2024</t>
  </si>
  <si>
    <t>Pour 2024</t>
  </si>
  <si>
    <t>CALCUL DES USURES NEGOCE model pour 2025</t>
  </si>
  <si>
    <t>prix</t>
  </si>
  <si>
    <t>Total</t>
  </si>
  <si>
    <t>Recapitulatif de 2023</t>
  </si>
  <si>
    <t>mises 2023</t>
  </si>
  <si>
    <t>mises prevues 24</t>
  </si>
  <si>
    <t>%</t>
  </si>
  <si>
    <t>on a pris usure de 114l au lieu de 220 car on utilise moins de fts et on a mis la cermaique pour la 1ere année</t>
  </si>
  <si>
    <t>Total blancs domaine à 2%</t>
  </si>
  <si>
    <t>Moulin a vent REALITE VU MP</t>
  </si>
  <si>
    <t>Total rouge domaine 3%</t>
  </si>
  <si>
    <t>ON fait toute usure des rouges sur le HN</t>
  </si>
  <si>
    <t>MAXI</t>
  </si>
  <si>
    <t>EN litre</t>
  </si>
  <si>
    <t xml:space="preserve">apres lie </t>
  </si>
  <si>
    <t>en bt</t>
  </si>
  <si>
    <t>en bt arrondi</t>
  </si>
  <si>
    <t>alloués au 4/11</t>
  </si>
  <si>
    <t>reste</t>
  </si>
  <si>
    <t>PALOMAR</t>
  </si>
  <si>
    <t>BANVILLE</t>
  </si>
  <si>
    <t>VICTORY</t>
  </si>
  <si>
    <t>RESTE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</si>
</sst>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1" fontId="0" fillId="0" borderId="2" xfId="0" applyNumberFormat="1" applyBorder="1"/>
    <xf numFmtId="0" fontId="0" fillId="2" borderId="1" xfId="0" applyFill="1" applyBorder="1"/>
    <xf numFmtId="0" fontId="0" fillId="3" borderId="0" xfId="0" applyFill="1"/>
    <xf numFmtId="1" fontId="3" fillId="5" borderId="0" xfId="0" applyNumberFormat="1" applyFont="1" applyFill="1"/>
    <xf numFmtId="1" fontId="4" fillId="0" borderId="0" xfId="0" applyNumberFormat="1" applyFont="1"/>
    <xf numFmtId="0" fontId="0" fillId="2" borderId="0" xfId="0" applyFill="1"/>
    <xf numFmtId="1" fontId="0" fillId="4" borderId="0" xfId="0" applyNumberFormat="1" applyFill="1"/>
    <xf numFmtId="0" fontId="0" fillId="6" borderId="1" xfId="0" applyFill="1" applyBorder="1"/>
    <xf numFmtId="1" fontId="0" fillId="7" borderId="1" xfId="0" applyNumberFormat="1" applyFill="1" applyBorder="1"/>
    <xf numFmtId="0" fontId="0" fillId="7" borderId="1" xfId="0" applyFill="1" applyBorder="1"/>
    <xf numFmtId="0" fontId="3" fillId="7" borderId="0" xfId="0" applyFont="1" applyFill="1" applyAlignment="1">
      <alignment horizontal="center"/>
    </xf>
    <xf numFmtId="1" fontId="0" fillId="7" borderId="0" xfId="0" applyNumberFormat="1" applyFill="1"/>
    <xf numFmtId="0" fontId="2" fillId="0" borderId="1" xfId="0" applyFont="1" applyBorder="1"/>
    <xf numFmtId="0" fontId="3" fillId="0" borderId="3" xfId="0" applyFont="1" applyBorder="1" applyAlignment="1">
      <alignment horizontal="center"/>
    </xf>
    <xf numFmtId="9" fontId="0" fillId="0" borderId="0" xfId="0" applyNumberFormat="1"/>
    <xf numFmtId="0" fontId="4" fillId="0" borderId="0" xfId="0" applyFont="1"/>
    <xf numFmtId="0" fontId="0" fillId="0" borderId="0" xfId="0" applyAlignment="1">
      <alignment horizontal="center"/>
    </xf>
    <xf numFmtId="0" fontId="4" fillId="5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6" borderId="0" xfId="0" applyFill="1"/>
    <xf numFmtId="3" fontId="0" fillId="0" borderId="1" xfId="0" applyNumberFormat="1" applyBorder="1"/>
    <xf numFmtId="0" fontId="0" fillId="7" borderId="0" xfId="0" applyFill="1"/>
    <xf numFmtId="0" fontId="4" fillId="5" borderId="1" xfId="0" applyFont="1" applyFill="1" applyBorder="1"/>
    <xf numFmtId="3" fontId="4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9" fontId="0" fillId="6" borderId="3" xfId="0" applyNumberFormat="1" applyFill="1" applyBorder="1"/>
    <xf numFmtId="0" fontId="3" fillId="6" borderId="0" xfId="0" applyFont="1" applyFill="1" applyAlignment="1">
      <alignment horizontal="center"/>
    </xf>
    <xf numFmtId="1" fontId="0" fillId="6" borderId="0" xfId="0" applyNumberFormat="1" applyFill="1"/>
    <xf numFmtId="1" fontId="0" fillId="6" borderId="1" xfId="0" applyNumberFormat="1" applyFill="1" applyBorder="1"/>
    <xf numFmtId="1" fontId="0" fillId="8" borderId="1" xfId="0" applyNumberFormat="1" applyFill="1" applyBorder="1"/>
    <xf numFmtId="0" fontId="3" fillId="8" borderId="0" xfId="0" applyFont="1" applyFill="1" applyAlignment="1">
      <alignment horizontal="center"/>
    </xf>
    <xf numFmtId="0" fontId="0" fillId="8" borderId="1" xfId="0" applyFill="1" applyBorder="1"/>
    <xf numFmtId="1" fontId="0" fillId="9" borderId="1" xfId="0" applyNumberFormat="1" applyFill="1" applyBorder="1"/>
    <xf numFmtId="0" fontId="1" fillId="0" borderId="1" xfId="0" applyFont="1" applyBorder="1"/>
    <xf numFmtId="1" fontId="4" fillId="0" borderId="1" xfId="0" applyNumberFormat="1" applyFont="1" applyBorder="1"/>
    <xf numFmtId="1" fontId="1" fillId="0" borderId="0" xfId="0" applyNumberFormat="1" applyFont="1" applyAlignment="1">
      <alignment horizontal="center"/>
    </xf>
    <xf numFmtId="1" fontId="4" fillId="5" borderId="0" xfId="0" applyNumberFormat="1" applyFont="1" applyFill="1"/>
    <xf numFmtId="0" fontId="2" fillId="7" borderId="0" xfId="0" applyFont="1" applyFill="1"/>
    <xf numFmtId="0" fontId="2" fillId="3" borderId="0" xfId="0" applyFont="1" applyFill="1"/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0" fontId="5" fillId="0" borderId="0" xfId="0" applyFont="1"/>
    <xf numFmtId="0" fontId="6" fillId="0" borderId="1" xfId="0" applyFont="1" applyBorder="1"/>
    <xf numFmtId="3" fontId="4" fillId="0" borderId="0" xfId="0" applyNumberFormat="1" applyFont="1"/>
    <xf numFmtId="0" fontId="4" fillId="5" borderId="1" xfId="0" applyFont="1" applyFill="1" applyBorder="1" applyAlignment="1">
      <alignment horizontal="center"/>
    </xf>
    <xf numFmtId="0" fontId="0" fillId="5" borderId="1" xfId="0" applyFill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42D18-5D3E-48D5-9A53-97B3FC5EA6B9}">
  <sheetPr>
    <pageSetUpPr fitToPage="1"/>
  </sheetPr>
  <dimension ref="A1:V106"/>
  <sheetViews>
    <sheetView tabSelected="1" topLeftCell="A62" zoomScale="115" zoomScaleNormal="115" workbookViewId="0">
      <selection activeCell="G96" sqref="G96"/>
    </sheetView>
  </sheetViews>
  <sheetFormatPr baseColWidth="10" defaultRowHeight="14.5" x14ac:dyDescent="0.35"/>
  <cols>
    <col min="1" max="1" width="33.81640625" bestFit="1" customWidth="1"/>
    <col min="4" max="4" width="16.90625" customWidth="1"/>
    <col min="7" max="7" width="15" customWidth="1"/>
    <col min="14" max="14" width="33.81640625" bestFit="1" customWidth="1"/>
  </cols>
  <sheetData>
    <row r="1" spans="1:10" x14ac:dyDescent="0.35">
      <c r="A1" t="s">
        <v>0</v>
      </c>
    </row>
    <row r="4" spans="1:10" x14ac:dyDescent="0.35">
      <c r="A4" s="1"/>
      <c r="B4" s="1"/>
      <c r="C4" s="1"/>
      <c r="D4" s="1"/>
      <c r="E4" s="2"/>
    </row>
    <row r="5" spans="1:10" x14ac:dyDescent="0.35">
      <c r="A5" s="1"/>
      <c r="B5" s="1"/>
      <c r="C5" s="1" t="s">
        <v>25</v>
      </c>
      <c r="D5" t="s">
        <v>42</v>
      </c>
      <c r="E5" s="2" t="s">
        <v>96</v>
      </c>
    </row>
    <row r="6" spans="1:10" x14ac:dyDescent="0.35">
      <c r="A6">
        <v>2024</v>
      </c>
      <c r="C6" t="s">
        <v>24</v>
      </c>
      <c r="D6" t="s">
        <v>28</v>
      </c>
      <c r="E6" s="2" t="s">
        <v>1</v>
      </c>
    </row>
    <row r="7" spans="1:10" x14ac:dyDescent="0.35">
      <c r="A7" s="12" t="s">
        <v>2</v>
      </c>
      <c r="B7" s="12"/>
      <c r="C7" s="12"/>
      <c r="D7" s="12">
        <v>1044</v>
      </c>
      <c r="E7" s="4">
        <f t="shared" ref="E7:E24" si="0">(D7-(D7/228*5))*0.99/0.75</f>
        <v>1347.8589473684212</v>
      </c>
      <c r="I7" s="4"/>
      <c r="J7" s="2"/>
    </row>
    <row r="8" spans="1:10" x14ac:dyDescent="0.35">
      <c r="A8" s="3" t="s">
        <v>3</v>
      </c>
      <c r="B8" s="3"/>
      <c r="C8" s="3"/>
      <c r="D8" s="14">
        <v>684</v>
      </c>
      <c r="E8" s="5">
        <f t="shared" si="0"/>
        <v>883.07999999999993</v>
      </c>
      <c r="I8" s="4"/>
      <c r="J8" s="2"/>
    </row>
    <row r="9" spans="1:10" x14ac:dyDescent="0.35">
      <c r="A9" s="3" t="s">
        <v>4</v>
      </c>
      <c r="B9" s="3"/>
      <c r="C9" s="3">
        <v>2056</v>
      </c>
      <c r="D9" s="6">
        <f>C9-H27</f>
        <v>2056</v>
      </c>
      <c r="E9" s="4">
        <f t="shared" si="0"/>
        <v>2654.4042105263156</v>
      </c>
      <c r="F9" t="s">
        <v>5</v>
      </c>
      <c r="I9" s="4"/>
      <c r="J9" s="2"/>
    </row>
    <row r="10" spans="1:10" x14ac:dyDescent="0.35">
      <c r="A10" s="3" t="s">
        <v>6</v>
      </c>
      <c r="B10" s="3"/>
      <c r="C10" s="3"/>
      <c r="D10" s="14">
        <v>478</v>
      </c>
      <c r="E10" s="4">
        <f t="shared" si="0"/>
        <v>617.12315789473678</v>
      </c>
      <c r="I10" s="4"/>
      <c r="J10" s="2"/>
    </row>
    <row r="11" spans="1:10" x14ac:dyDescent="0.35">
      <c r="A11" s="3" t="s">
        <v>7</v>
      </c>
      <c r="B11" s="3"/>
      <c r="C11" s="3"/>
      <c r="D11" s="14">
        <v>856</v>
      </c>
      <c r="E11" s="4">
        <f t="shared" si="0"/>
        <v>1105.1410526315788</v>
      </c>
      <c r="I11" s="4"/>
      <c r="J11" s="2"/>
    </row>
    <row r="12" spans="1:10" x14ac:dyDescent="0.35">
      <c r="A12" s="3" t="s">
        <v>8</v>
      </c>
      <c r="B12" s="3"/>
      <c r="C12" s="3"/>
      <c r="D12" s="14">
        <v>1028</v>
      </c>
      <c r="E12" s="4">
        <f t="shared" si="0"/>
        <v>1327.2021052631578</v>
      </c>
      <c r="I12" s="4"/>
      <c r="J12" s="2"/>
    </row>
    <row r="13" spans="1:10" x14ac:dyDescent="0.35">
      <c r="A13" s="3" t="s">
        <v>9</v>
      </c>
      <c r="B13" s="3"/>
      <c r="C13" s="3">
        <v>5012</v>
      </c>
      <c r="D13" s="6">
        <f>C13-K27</f>
        <v>5012</v>
      </c>
      <c r="E13" s="4">
        <f t="shared" si="0"/>
        <v>6470.7557894736829</v>
      </c>
      <c r="F13" t="s">
        <v>5</v>
      </c>
      <c r="I13" s="4"/>
      <c r="J13" s="2"/>
    </row>
    <row r="14" spans="1:10" x14ac:dyDescent="0.35">
      <c r="A14" s="12" t="s">
        <v>10</v>
      </c>
      <c r="B14" s="12"/>
      <c r="C14" s="12">
        <v>6200</v>
      </c>
      <c r="D14" s="36">
        <f>C14-E29</f>
        <v>6055.12</v>
      </c>
      <c r="E14" s="4">
        <f t="shared" si="0"/>
        <v>7817.4786105263156</v>
      </c>
      <c r="F14" t="s">
        <v>5</v>
      </c>
      <c r="I14" s="4"/>
      <c r="J14" s="2"/>
    </row>
    <row r="15" spans="1:10" x14ac:dyDescent="0.35">
      <c r="A15" s="39" t="s">
        <v>11</v>
      </c>
      <c r="B15" s="3"/>
      <c r="C15" s="3">
        <v>7438</v>
      </c>
      <c r="D15" s="37">
        <f>C15-E32</f>
        <v>7214.86</v>
      </c>
      <c r="E15" s="4">
        <f t="shared" si="0"/>
        <v>9314.763989473684</v>
      </c>
      <c r="F15" t="s">
        <v>5</v>
      </c>
      <c r="I15" s="4"/>
      <c r="J15" s="2"/>
    </row>
    <row r="16" spans="1:10" x14ac:dyDescent="0.35">
      <c r="A16" s="3" t="s">
        <v>12</v>
      </c>
      <c r="B16" s="3"/>
      <c r="C16" s="3"/>
      <c r="D16" s="14">
        <v>478</v>
      </c>
      <c r="E16" s="4">
        <f t="shared" si="0"/>
        <v>617.12315789473678</v>
      </c>
      <c r="I16" s="4"/>
      <c r="J16" s="2"/>
    </row>
    <row r="17" spans="1:11" x14ac:dyDescent="0.35">
      <c r="A17" s="3" t="s">
        <v>13</v>
      </c>
      <c r="B17" s="3"/>
      <c r="C17" s="3"/>
      <c r="D17" s="14">
        <v>250</v>
      </c>
      <c r="E17" s="4">
        <f t="shared" si="0"/>
        <v>322.76315789473682</v>
      </c>
      <c r="I17" s="4"/>
      <c r="J17" s="2"/>
    </row>
    <row r="18" spans="1:11" x14ac:dyDescent="0.35">
      <c r="A18" s="3" t="s">
        <v>14</v>
      </c>
      <c r="B18" s="3"/>
      <c r="C18" s="3"/>
      <c r="D18" s="14">
        <v>456</v>
      </c>
      <c r="E18" s="4">
        <f t="shared" si="0"/>
        <v>588.72</v>
      </c>
      <c r="I18" s="4"/>
      <c r="J18" s="2"/>
    </row>
    <row r="19" spans="1:11" x14ac:dyDescent="0.35">
      <c r="A19" s="3" t="s">
        <v>15</v>
      </c>
      <c r="B19" s="3"/>
      <c r="C19" s="3"/>
      <c r="D19" s="14">
        <v>1028</v>
      </c>
      <c r="E19" s="4">
        <f t="shared" si="0"/>
        <v>1327.2021052631578</v>
      </c>
      <c r="I19" s="4"/>
      <c r="J19" s="2"/>
    </row>
    <row r="20" spans="1:11" x14ac:dyDescent="0.35">
      <c r="A20" s="3" t="s">
        <v>16</v>
      </c>
      <c r="B20" s="3"/>
      <c r="C20" s="3"/>
      <c r="D20" s="14">
        <v>0</v>
      </c>
      <c r="E20" s="4">
        <f t="shared" si="0"/>
        <v>0</v>
      </c>
      <c r="I20" s="4"/>
      <c r="J20" s="2"/>
    </row>
    <row r="21" spans="1:11" x14ac:dyDescent="0.35">
      <c r="A21" s="3" t="s">
        <v>17</v>
      </c>
      <c r="B21" s="3"/>
      <c r="C21" s="3"/>
      <c r="D21" s="14">
        <v>0</v>
      </c>
      <c r="E21" s="4">
        <f t="shared" si="0"/>
        <v>0</v>
      </c>
      <c r="I21" s="4"/>
      <c r="J21" s="2"/>
    </row>
    <row r="22" spans="1:11" x14ac:dyDescent="0.35">
      <c r="A22" s="3" t="s">
        <v>18</v>
      </c>
      <c r="B22" s="3"/>
      <c r="C22" s="3"/>
      <c r="D22" s="14">
        <v>1884</v>
      </c>
      <c r="E22" s="4">
        <f t="shared" si="0"/>
        <v>2432.343157894737</v>
      </c>
      <c r="I22" s="4"/>
      <c r="J22" s="2"/>
    </row>
    <row r="23" spans="1:11" x14ac:dyDescent="0.35">
      <c r="A23" s="3" t="s">
        <v>19</v>
      </c>
      <c r="B23" s="3"/>
      <c r="C23" s="3"/>
      <c r="D23" s="14">
        <v>478</v>
      </c>
      <c r="E23" s="4">
        <f t="shared" si="0"/>
        <v>617.12315789473678</v>
      </c>
      <c r="I23" s="4"/>
      <c r="J23" s="2"/>
    </row>
    <row r="24" spans="1:11" x14ac:dyDescent="0.35">
      <c r="A24" s="3" t="s">
        <v>20</v>
      </c>
      <c r="B24" s="3"/>
      <c r="C24" s="3"/>
      <c r="D24" s="14">
        <v>350</v>
      </c>
      <c r="E24" s="4">
        <f t="shared" si="0"/>
        <v>451.86842105263162</v>
      </c>
      <c r="I24" s="4"/>
      <c r="J24" s="2"/>
    </row>
    <row r="25" spans="1:11" x14ac:dyDescent="0.35">
      <c r="E25" s="8">
        <f>SUM(E7:E24)</f>
        <v>37894.951021052628</v>
      </c>
      <c r="I25" s="9"/>
      <c r="J25" s="9"/>
    </row>
    <row r="26" spans="1:11" x14ac:dyDescent="0.35">
      <c r="E26" s="9"/>
      <c r="G26" s="54" t="s">
        <v>95</v>
      </c>
      <c r="H26" s="54"/>
      <c r="I26" s="54"/>
      <c r="J26" s="54"/>
      <c r="K26" s="54"/>
    </row>
    <row r="27" spans="1:11" x14ac:dyDescent="0.35">
      <c r="A27" s="15" t="s">
        <v>94</v>
      </c>
      <c r="B27" s="15"/>
      <c r="C27" s="15"/>
      <c r="D27" s="15">
        <f>D24+D23+D22+D21+D20+D19+D18+D17+D16+C13+D12+D11+D10+C9+D8</f>
        <v>15038</v>
      </c>
      <c r="E27" s="16">
        <f>D27*0.03</f>
        <v>451.14</v>
      </c>
      <c r="G27" s="10"/>
      <c r="I27" s="10"/>
      <c r="J27" s="10"/>
    </row>
    <row r="28" spans="1:11" x14ac:dyDescent="0.35">
      <c r="A28" s="15"/>
      <c r="B28" s="15"/>
      <c r="C28" s="15"/>
      <c r="D28" s="15"/>
      <c r="E28" s="16"/>
      <c r="G28" s="10"/>
      <c r="I28" s="10"/>
      <c r="J28" s="10"/>
    </row>
    <row r="29" spans="1:11" x14ac:dyDescent="0.35">
      <c r="A29" s="34" t="s">
        <v>92</v>
      </c>
      <c r="B29" s="34"/>
      <c r="C29" s="34"/>
      <c r="D29" s="34">
        <f>C14+D7</f>
        <v>7244</v>
      </c>
      <c r="E29" s="35">
        <f>D29*0.02</f>
        <v>144.88</v>
      </c>
    </row>
    <row r="30" spans="1:11" x14ac:dyDescent="0.35">
      <c r="E30" s="2"/>
      <c r="G30" s="23" t="s">
        <v>76</v>
      </c>
      <c r="H30" s="23"/>
    </row>
    <row r="31" spans="1:11" x14ac:dyDescent="0.35">
      <c r="E31" s="9" t="s">
        <v>61</v>
      </c>
      <c r="G31" s="23" t="s">
        <v>21</v>
      </c>
      <c r="H31" s="23"/>
    </row>
    <row r="32" spans="1:11" x14ac:dyDescent="0.35">
      <c r="A32" s="38" t="s">
        <v>23</v>
      </c>
      <c r="B32" s="1"/>
      <c r="C32" s="1"/>
      <c r="D32" s="38">
        <f>C15</f>
        <v>7438</v>
      </c>
      <c r="E32" s="11">
        <f>D32*0.03</f>
        <v>223.14</v>
      </c>
      <c r="G32" s="23" t="s">
        <v>22</v>
      </c>
      <c r="H32" s="23">
        <v>200</v>
      </c>
    </row>
    <row r="33" spans="1:22" x14ac:dyDescent="0.35">
      <c r="E33" s="2"/>
      <c r="G33" s="23" t="s">
        <v>43</v>
      </c>
      <c r="H33" s="23">
        <v>114</v>
      </c>
    </row>
    <row r="34" spans="1:22" x14ac:dyDescent="0.35">
      <c r="E34" s="2"/>
      <c r="G34" s="23" t="s">
        <v>44</v>
      </c>
      <c r="H34" s="23">
        <v>145</v>
      </c>
    </row>
    <row r="35" spans="1:22" x14ac:dyDescent="0.35">
      <c r="E35" s="2"/>
      <c r="J35" t="s">
        <v>81</v>
      </c>
      <c r="K35" t="s">
        <v>80</v>
      </c>
    </row>
    <row r="36" spans="1:22" x14ac:dyDescent="0.35">
      <c r="C36" s="2"/>
      <c r="K36" s="20" t="s">
        <v>45</v>
      </c>
      <c r="O36" t="s">
        <v>46</v>
      </c>
    </row>
    <row r="37" spans="1:22" x14ac:dyDescent="0.35">
      <c r="C37" s="2"/>
      <c r="G37" s="21" t="s">
        <v>47</v>
      </c>
      <c r="H37" t="s">
        <v>63</v>
      </c>
      <c r="I37" s="21" t="s">
        <v>47</v>
      </c>
      <c r="J37" s="21" t="s">
        <v>79</v>
      </c>
      <c r="K37" t="s">
        <v>48</v>
      </c>
      <c r="O37" t="s">
        <v>49</v>
      </c>
      <c r="U37" t="s">
        <v>71</v>
      </c>
    </row>
    <row r="38" spans="1:22" x14ac:dyDescent="0.35">
      <c r="A38">
        <v>2024</v>
      </c>
      <c r="B38" t="s">
        <v>75</v>
      </c>
      <c r="C38" t="s">
        <v>26</v>
      </c>
      <c r="D38" s="22" t="s">
        <v>77</v>
      </c>
      <c r="E38" t="s">
        <v>50</v>
      </c>
      <c r="F38" s="23" t="s">
        <v>51</v>
      </c>
      <c r="G38" s="24" t="s">
        <v>64</v>
      </c>
      <c r="H38" s="23" t="s">
        <v>62</v>
      </c>
      <c r="I38" s="24" t="s">
        <v>52</v>
      </c>
      <c r="J38" s="24" t="s">
        <v>78</v>
      </c>
      <c r="K38" s="21" t="s">
        <v>53</v>
      </c>
      <c r="L38" s="24" t="s">
        <v>85</v>
      </c>
      <c r="M38" s="24" t="s">
        <v>86</v>
      </c>
      <c r="N38" t="s">
        <v>82</v>
      </c>
      <c r="O38" t="s">
        <v>54</v>
      </c>
      <c r="P38" t="s">
        <v>65</v>
      </c>
      <c r="R38" t="s">
        <v>68</v>
      </c>
      <c r="T38" t="s">
        <v>70</v>
      </c>
    </row>
    <row r="39" spans="1:22" x14ac:dyDescent="0.35">
      <c r="A39" s="25" t="s">
        <v>2</v>
      </c>
      <c r="B39" s="3">
        <v>1044</v>
      </c>
      <c r="C39" s="3">
        <v>1044</v>
      </c>
      <c r="D39" s="3"/>
      <c r="E39" s="4"/>
      <c r="F39" s="4">
        <f>D39+E39</f>
        <v>0</v>
      </c>
      <c r="G39" s="3">
        <f t="shared" ref="G39:G57" si="1">C39-F39</f>
        <v>1044</v>
      </c>
      <c r="H39" s="3">
        <f>G39/228*3</f>
        <v>13.736842105263158</v>
      </c>
      <c r="I39" s="3">
        <f>G39-H39</f>
        <v>1030.2631578947369</v>
      </c>
      <c r="J39" s="3">
        <f>I39/0.75</f>
        <v>1373.6842105263158</v>
      </c>
      <c r="K39" s="26">
        <f>G39*0.97/0.75</f>
        <v>1350.24</v>
      </c>
      <c r="L39">
        <v>45</v>
      </c>
      <c r="M39">
        <f>L39*K39</f>
        <v>60760.800000000003</v>
      </c>
      <c r="N39" s="25" t="s">
        <v>2</v>
      </c>
      <c r="O39" s="4">
        <v>1373.6842105263158</v>
      </c>
      <c r="P39" s="3"/>
      <c r="R39">
        <v>1935</v>
      </c>
      <c r="T39" s="44">
        <f>O39-R39</f>
        <v>-561.31578947368416</v>
      </c>
      <c r="V39">
        <v>90</v>
      </c>
    </row>
    <row r="40" spans="1:22" x14ac:dyDescent="0.35">
      <c r="A40" s="27" t="s">
        <v>3</v>
      </c>
      <c r="B40" s="3">
        <v>684</v>
      </c>
      <c r="C40" s="3">
        <v>684</v>
      </c>
      <c r="D40" s="3"/>
      <c r="E40" s="4"/>
      <c r="F40" s="4">
        <f t="shared" ref="F40:F57" si="2">D40+E40</f>
        <v>0</v>
      </c>
      <c r="G40" s="3">
        <f t="shared" si="1"/>
        <v>684</v>
      </c>
      <c r="H40" s="3">
        <f t="shared" ref="H40:H57" si="3">G40/228*3</f>
        <v>9</v>
      </c>
      <c r="I40" s="3">
        <f t="shared" ref="I40:I57" si="4">G40-H40</f>
        <v>675</v>
      </c>
      <c r="J40" s="3">
        <f t="shared" ref="J40:J57" si="5">I40/0.75</f>
        <v>900</v>
      </c>
      <c r="K40" s="26">
        <f>G40*0.97/0.75</f>
        <v>884.64</v>
      </c>
      <c r="L40">
        <v>37</v>
      </c>
      <c r="M40">
        <f t="shared" ref="M40:M57" si="6">L40*K40</f>
        <v>32731.68</v>
      </c>
      <c r="N40" s="27" t="s">
        <v>3</v>
      </c>
      <c r="O40" s="4">
        <v>900</v>
      </c>
      <c r="P40" s="3"/>
      <c r="R40">
        <v>1850</v>
      </c>
      <c r="T40" s="9">
        <f t="shared" ref="T40:T57" si="7">O40-R40</f>
        <v>-950</v>
      </c>
    </row>
    <row r="41" spans="1:22" x14ac:dyDescent="0.35">
      <c r="A41" s="45" t="s">
        <v>4</v>
      </c>
      <c r="B41" s="3">
        <v>2056</v>
      </c>
      <c r="C41" s="3">
        <v>2056</v>
      </c>
      <c r="D41" s="28"/>
      <c r="E41" s="13"/>
      <c r="F41" s="4">
        <f t="shared" si="2"/>
        <v>0</v>
      </c>
      <c r="G41" s="3">
        <f t="shared" si="1"/>
        <v>2056</v>
      </c>
      <c r="H41" s="3">
        <f t="shared" si="3"/>
        <v>27.05263157894737</v>
      </c>
      <c r="I41" s="3">
        <f t="shared" si="4"/>
        <v>2028.9473684210527</v>
      </c>
      <c r="J41" s="3">
        <f t="shared" si="5"/>
        <v>2705.2631578947371</v>
      </c>
      <c r="K41" s="26">
        <f>G41*0.97/0.75</f>
        <v>2659.0933333333332</v>
      </c>
      <c r="L41">
        <v>15</v>
      </c>
      <c r="M41">
        <f t="shared" si="6"/>
        <v>39886.400000000001</v>
      </c>
      <c r="N41" s="27" t="s">
        <v>4</v>
      </c>
      <c r="O41" s="4">
        <v>1913.1578947368423</v>
      </c>
      <c r="P41" s="3"/>
      <c r="R41">
        <v>3373</v>
      </c>
      <c r="T41" s="9">
        <f t="shared" si="7"/>
        <v>-1459.8421052631577</v>
      </c>
    </row>
    <row r="42" spans="1:22" x14ac:dyDescent="0.35">
      <c r="A42" s="27" t="s">
        <v>6</v>
      </c>
      <c r="B42" s="3">
        <v>478</v>
      </c>
      <c r="C42" s="3">
        <v>478</v>
      </c>
      <c r="D42" s="3"/>
      <c r="E42" s="4"/>
      <c r="F42" s="4">
        <f t="shared" si="2"/>
        <v>0</v>
      </c>
      <c r="G42" s="3">
        <f t="shared" si="1"/>
        <v>478</v>
      </c>
      <c r="H42" s="3">
        <f t="shared" si="3"/>
        <v>6.2894736842105265</v>
      </c>
      <c r="I42" s="3">
        <f t="shared" si="4"/>
        <v>471.71052631578948</v>
      </c>
      <c r="J42" s="3">
        <f t="shared" si="5"/>
        <v>628.9473684210526</v>
      </c>
      <c r="K42" s="26">
        <f>G42*0.97/0.75</f>
        <v>618.21333333333325</v>
      </c>
      <c r="L42">
        <v>56</v>
      </c>
      <c r="M42">
        <f t="shared" si="6"/>
        <v>34619.946666666663</v>
      </c>
      <c r="N42" s="27" t="s">
        <v>6</v>
      </c>
      <c r="O42" s="4">
        <v>628.9473684210526</v>
      </c>
      <c r="P42" s="3"/>
      <c r="R42">
        <v>2313</v>
      </c>
      <c r="T42" s="9">
        <f t="shared" si="7"/>
        <v>-1684.0526315789475</v>
      </c>
    </row>
    <row r="43" spans="1:22" x14ac:dyDescent="0.35">
      <c r="A43" s="45" t="s">
        <v>7</v>
      </c>
      <c r="B43" s="3">
        <v>856</v>
      </c>
      <c r="C43" s="3">
        <v>856</v>
      </c>
      <c r="D43" s="3"/>
      <c r="E43" s="4"/>
      <c r="F43" s="4">
        <f t="shared" si="2"/>
        <v>0</v>
      </c>
      <c r="G43" s="3">
        <f t="shared" si="1"/>
        <v>856</v>
      </c>
      <c r="H43" s="3">
        <f t="shared" si="3"/>
        <v>11.263157894736842</v>
      </c>
      <c r="I43" s="3">
        <f t="shared" si="4"/>
        <v>844.73684210526312</v>
      </c>
      <c r="J43" s="41">
        <f t="shared" si="5"/>
        <v>1126.3157894736842</v>
      </c>
      <c r="K43" s="29">
        <f>G43*0.88/0.75</f>
        <v>1004.3733333333333</v>
      </c>
      <c r="L43">
        <v>215</v>
      </c>
      <c r="M43">
        <f t="shared" si="6"/>
        <v>215940.26666666666</v>
      </c>
      <c r="N43" s="27" t="s">
        <v>7</v>
      </c>
      <c r="O43" s="48">
        <v>1126.3157894736842</v>
      </c>
      <c r="P43" s="3">
        <v>1004</v>
      </c>
      <c r="R43">
        <v>2266</v>
      </c>
      <c r="T43" s="9">
        <f t="shared" si="7"/>
        <v>-1139.6842105263158</v>
      </c>
      <c r="U43" t="s">
        <v>72</v>
      </c>
    </row>
    <row r="44" spans="1:22" x14ac:dyDescent="0.35">
      <c r="A44" s="27" t="s">
        <v>8</v>
      </c>
      <c r="B44" s="3">
        <v>1028</v>
      </c>
      <c r="C44" s="3">
        <v>1028</v>
      </c>
      <c r="D44" s="3"/>
      <c r="E44" s="4"/>
      <c r="F44" s="4">
        <f t="shared" si="2"/>
        <v>0</v>
      </c>
      <c r="G44" s="3">
        <f t="shared" si="1"/>
        <v>1028</v>
      </c>
      <c r="H44" s="3">
        <f t="shared" si="3"/>
        <v>13.526315789473685</v>
      </c>
      <c r="I44" s="3">
        <f t="shared" si="4"/>
        <v>1014.4736842105264</v>
      </c>
      <c r="J44" s="41">
        <f t="shared" si="5"/>
        <v>1352.6315789473686</v>
      </c>
      <c r="K44" s="29">
        <f>G44*0.88/0.75</f>
        <v>1206.1866666666667</v>
      </c>
      <c r="L44">
        <v>22</v>
      </c>
      <c r="M44">
        <f t="shared" si="6"/>
        <v>26536.106666666667</v>
      </c>
      <c r="N44" s="27" t="s">
        <v>8</v>
      </c>
      <c r="O44" s="48">
        <v>1352.6315789473686</v>
      </c>
      <c r="P44" s="3">
        <v>1206</v>
      </c>
      <c r="R44">
        <v>2457</v>
      </c>
      <c r="T44" s="9">
        <f t="shared" si="7"/>
        <v>-1104.3684210526314</v>
      </c>
      <c r="U44" t="s">
        <v>72</v>
      </c>
    </row>
    <row r="45" spans="1:22" x14ac:dyDescent="0.35">
      <c r="A45" s="45" t="s">
        <v>9</v>
      </c>
      <c r="B45" s="3">
        <v>5012</v>
      </c>
      <c r="C45" s="3">
        <v>5012</v>
      </c>
      <c r="D45" s="53">
        <v>200</v>
      </c>
      <c r="E45" s="13">
        <v>251</v>
      </c>
      <c r="F45" s="4">
        <f t="shared" si="2"/>
        <v>451</v>
      </c>
      <c r="G45" s="3">
        <f t="shared" si="1"/>
        <v>4561</v>
      </c>
      <c r="H45" s="3">
        <f t="shared" si="3"/>
        <v>60.013157894736842</v>
      </c>
      <c r="I45" s="3">
        <f t="shared" si="4"/>
        <v>4500.9868421052633</v>
      </c>
      <c r="J45" s="3">
        <f t="shared" si="5"/>
        <v>6001.3157894736842</v>
      </c>
      <c r="K45" s="26">
        <f t="shared" ref="K45:K51" si="8">G45*0.97/0.75</f>
        <v>5898.8933333333334</v>
      </c>
      <c r="L45">
        <v>15.5</v>
      </c>
      <c r="M45">
        <f t="shared" si="6"/>
        <v>91432.846666666665</v>
      </c>
      <c r="N45" s="27" t="s">
        <v>9</v>
      </c>
      <c r="O45" s="4">
        <v>5994.7368421052633</v>
      </c>
      <c r="P45" s="3"/>
      <c r="R45">
        <v>10889</v>
      </c>
      <c r="T45" s="9">
        <f t="shared" si="7"/>
        <v>-4894.2631578947367</v>
      </c>
    </row>
    <row r="46" spans="1:22" x14ac:dyDescent="0.35">
      <c r="A46" s="25" t="s">
        <v>10</v>
      </c>
      <c r="B46" s="3">
        <v>6200</v>
      </c>
      <c r="C46" s="3">
        <v>6200</v>
      </c>
      <c r="D46" s="28">
        <v>145</v>
      </c>
      <c r="E46" s="40"/>
      <c r="F46" s="4">
        <f t="shared" si="2"/>
        <v>145</v>
      </c>
      <c r="G46" s="3">
        <f t="shared" si="1"/>
        <v>6055</v>
      </c>
      <c r="H46" s="3">
        <f t="shared" si="3"/>
        <v>79.671052631578959</v>
      </c>
      <c r="I46" s="3">
        <f t="shared" si="4"/>
        <v>5975.3289473684208</v>
      </c>
      <c r="J46" s="3">
        <f t="shared" si="5"/>
        <v>7967.1052631578941</v>
      </c>
      <c r="K46" s="26">
        <f t="shared" si="8"/>
        <v>7831.1333333333323</v>
      </c>
      <c r="L46">
        <v>16</v>
      </c>
      <c r="M46">
        <f t="shared" si="6"/>
        <v>125298.13333333332</v>
      </c>
      <c r="N46" s="25" t="s">
        <v>10</v>
      </c>
      <c r="O46" s="4">
        <v>7765.78947368421</v>
      </c>
      <c r="P46" s="3"/>
      <c r="R46">
        <v>6522</v>
      </c>
      <c r="T46" s="44">
        <f t="shared" si="7"/>
        <v>1243.78947368421</v>
      </c>
      <c r="V46">
        <v>500</v>
      </c>
    </row>
    <row r="47" spans="1:22" x14ac:dyDescent="0.35">
      <c r="A47" s="46" t="s">
        <v>11</v>
      </c>
      <c r="B47" s="3">
        <v>7438</v>
      </c>
      <c r="C47" s="3">
        <v>7438</v>
      </c>
      <c r="D47" s="28">
        <v>114</v>
      </c>
      <c r="E47" s="4"/>
      <c r="F47" s="4">
        <f t="shared" si="2"/>
        <v>114</v>
      </c>
      <c r="G47" s="3">
        <f t="shared" si="1"/>
        <v>7324</v>
      </c>
      <c r="H47" s="3">
        <f t="shared" si="3"/>
        <v>96.368421052631589</v>
      </c>
      <c r="I47" s="3">
        <f t="shared" si="4"/>
        <v>7227.6315789473683</v>
      </c>
      <c r="J47" s="3">
        <f t="shared" si="5"/>
        <v>9636.8421052631584</v>
      </c>
      <c r="K47" s="26">
        <f t="shared" si="8"/>
        <v>9472.373333333333</v>
      </c>
      <c r="L47">
        <v>14</v>
      </c>
      <c r="M47">
        <f t="shared" si="6"/>
        <v>132613.22666666665</v>
      </c>
      <c r="N47" s="7" t="s">
        <v>11</v>
      </c>
      <c r="O47" s="4">
        <v>9497.3684210526317</v>
      </c>
      <c r="P47" s="3"/>
      <c r="R47">
        <v>10608</v>
      </c>
      <c r="T47" s="9">
        <f t="shared" si="7"/>
        <v>-1110.6315789473683</v>
      </c>
    </row>
    <row r="48" spans="1:22" x14ac:dyDescent="0.35">
      <c r="A48" s="46" t="s">
        <v>93</v>
      </c>
      <c r="B48" s="3"/>
      <c r="C48" s="3">
        <v>7438</v>
      </c>
      <c r="D48" s="28">
        <v>114</v>
      </c>
      <c r="E48" s="4"/>
      <c r="F48" s="4">
        <v>114</v>
      </c>
      <c r="G48" s="3">
        <f t="shared" si="1"/>
        <v>7324</v>
      </c>
      <c r="H48" s="3">
        <v>50</v>
      </c>
      <c r="I48" s="3">
        <f t="shared" si="4"/>
        <v>7274</v>
      </c>
      <c r="J48" s="3">
        <f t="shared" si="5"/>
        <v>9698.6666666666661</v>
      </c>
      <c r="K48" s="26">
        <f t="shared" si="8"/>
        <v>9472.373333333333</v>
      </c>
      <c r="N48" s="7"/>
      <c r="O48" s="4"/>
      <c r="P48" s="3"/>
      <c r="T48" s="9"/>
    </row>
    <row r="49" spans="1:21" x14ac:dyDescent="0.35">
      <c r="A49" s="27" t="s">
        <v>12</v>
      </c>
      <c r="B49" s="3">
        <v>478</v>
      </c>
      <c r="C49" s="3">
        <v>478</v>
      </c>
      <c r="D49" s="3"/>
      <c r="E49" s="4"/>
      <c r="F49" s="4">
        <f t="shared" si="2"/>
        <v>0</v>
      </c>
      <c r="G49" s="3">
        <f t="shared" si="1"/>
        <v>478</v>
      </c>
      <c r="H49" s="3">
        <f t="shared" si="3"/>
        <v>6.2894736842105265</v>
      </c>
      <c r="I49" s="3">
        <f t="shared" si="4"/>
        <v>471.71052631578948</v>
      </c>
      <c r="J49" s="3">
        <f t="shared" si="5"/>
        <v>628.9473684210526</v>
      </c>
      <c r="K49" s="26">
        <f t="shared" si="8"/>
        <v>618.21333333333325</v>
      </c>
      <c r="L49">
        <v>71</v>
      </c>
      <c r="M49">
        <f t="shared" si="6"/>
        <v>43893.14666666666</v>
      </c>
      <c r="N49" s="27" t="s">
        <v>12</v>
      </c>
      <c r="O49" s="4">
        <v>628.9473684210526</v>
      </c>
      <c r="P49" s="3"/>
      <c r="R49">
        <v>1766</v>
      </c>
      <c r="T49" s="9">
        <f t="shared" si="7"/>
        <v>-1137.0526315789475</v>
      </c>
    </row>
    <row r="50" spans="1:21" x14ac:dyDescent="0.35">
      <c r="A50" s="45" t="s">
        <v>13</v>
      </c>
      <c r="B50" s="3">
        <v>250</v>
      </c>
      <c r="C50" s="3">
        <v>250</v>
      </c>
      <c r="D50" s="3"/>
      <c r="E50" s="4"/>
      <c r="F50" s="4">
        <f t="shared" si="2"/>
        <v>0</v>
      </c>
      <c r="G50" s="3">
        <f t="shared" si="1"/>
        <v>250</v>
      </c>
      <c r="H50" s="3">
        <f t="shared" si="3"/>
        <v>3.2894736842105265</v>
      </c>
      <c r="I50" s="3">
        <f t="shared" si="4"/>
        <v>246.71052631578948</v>
      </c>
      <c r="J50" s="3">
        <f t="shared" si="5"/>
        <v>328.94736842105266</v>
      </c>
      <c r="K50" s="26">
        <f t="shared" si="8"/>
        <v>323.33333333333331</v>
      </c>
      <c r="L50">
        <v>71</v>
      </c>
      <c r="M50">
        <f t="shared" si="6"/>
        <v>22956.666666666664</v>
      </c>
      <c r="N50" s="27" t="s">
        <v>13</v>
      </c>
      <c r="O50" s="4">
        <v>328.94736842105266</v>
      </c>
      <c r="P50" s="3"/>
      <c r="R50">
        <v>419</v>
      </c>
      <c r="T50" s="9">
        <f t="shared" si="7"/>
        <v>-90.052631578947341</v>
      </c>
      <c r="U50" t="s">
        <v>72</v>
      </c>
    </row>
    <row r="51" spans="1:21" x14ac:dyDescent="0.35">
      <c r="A51" s="27" t="s">
        <v>14</v>
      </c>
      <c r="B51" s="3">
        <v>456</v>
      </c>
      <c r="C51" s="3">
        <v>456</v>
      </c>
      <c r="D51" s="3"/>
      <c r="E51" s="4"/>
      <c r="F51" s="4">
        <f t="shared" si="2"/>
        <v>0</v>
      </c>
      <c r="G51" s="3">
        <f t="shared" si="1"/>
        <v>456</v>
      </c>
      <c r="H51" s="3">
        <f t="shared" si="3"/>
        <v>6</v>
      </c>
      <c r="I51" s="3">
        <f t="shared" si="4"/>
        <v>450</v>
      </c>
      <c r="J51" s="3">
        <f t="shared" si="5"/>
        <v>600</v>
      </c>
      <c r="K51" s="26">
        <f t="shared" si="8"/>
        <v>589.76</v>
      </c>
      <c r="L51">
        <v>71</v>
      </c>
      <c r="M51">
        <f t="shared" si="6"/>
        <v>41872.959999999999</v>
      </c>
      <c r="N51" s="27" t="s">
        <v>14</v>
      </c>
      <c r="O51" s="4">
        <v>600</v>
      </c>
      <c r="P51" s="3"/>
      <c r="R51">
        <v>1924</v>
      </c>
      <c r="T51" s="9">
        <f t="shared" si="7"/>
        <v>-1324</v>
      </c>
    </row>
    <row r="52" spans="1:21" x14ac:dyDescent="0.35">
      <c r="A52" s="27" t="s">
        <v>15</v>
      </c>
      <c r="B52" s="3">
        <v>1028</v>
      </c>
      <c r="C52" s="3">
        <v>1028</v>
      </c>
      <c r="D52" s="3"/>
      <c r="E52" s="4"/>
      <c r="F52" s="4">
        <f t="shared" si="2"/>
        <v>0</v>
      </c>
      <c r="G52" s="3">
        <f t="shared" si="1"/>
        <v>1028</v>
      </c>
      <c r="H52" s="3">
        <f t="shared" si="3"/>
        <v>13.526315789473685</v>
      </c>
      <c r="I52" s="3">
        <f t="shared" si="4"/>
        <v>1014.4736842105264</v>
      </c>
      <c r="J52" s="41">
        <f t="shared" si="5"/>
        <v>1352.6315789473686</v>
      </c>
      <c r="K52" s="29">
        <f>G52*0.88/0.75</f>
        <v>1206.1866666666667</v>
      </c>
      <c r="L52">
        <v>510</v>
      </c>
      <c r="M52">
        <f t="shared" si="6"/>
        <v>615155.20000000007</v>
      </c>
      <c r="N52" s="27" t="s">
        <v>15</v>
      </c>
      <c r="O52" s="48">
        <v>1352.6315789473686</v>
      </c>
      <c r="P52" s="3">
        <v>1206</v>
      </c>
      <c r="R52">
        <v>2070</v>
      </c>
      <c r="T52" s="9">
        <f t="shared" si="7"/>
        <v>-717.36842105263145</v>
      </c>
    </row>
    <row r="53" spans="1:21" x14ac:dyDescent="0.35">
      <c r="A53" s="27" t="s">
        <v>16</v>
      </c>
      <c r="B53" s="3">
        <v>0</v>
      </c>
      <c r="C53" s="3">
        <v>0</v>
      </c>
      <c r="D53" s="3"/>
      <c r="E53" s="4"/>
      <c r="F53" s="4">
        <f t="shared" si="2"/>
        <v>0</v>
      </c>
      <c r="G53" s="3">
        <f t="shared" si="1"/>
        <v>0</v>
      </c>
      <c r="H53" s="3">
        <f t="shared" si="3"/>
        <v>0</v>
      </c>
      <c r="I53" s="3">
        <f t="shared" si="4"/>
        <v>0</v>
      </c>
      <c r="J53" s="3">
        <f t="shared" si="5"/>
        <v>0</v>
      </c>
      <c r="K53" s="26">
        <f>G53*0.97/0.75</f>
        <v>0</v>
      </c>
      <c r="M53">
        <f t="shared" si="6"/>
        <v>0</v>
      </c>
      <c r="N53" s="27" t="s">
        <v>16</v>
      </c>
      <c r="O53" s="4">
        <v>0</v>
      </c>
      <c r="P53" s="3"/>
      <c r="R53">
        <v>3012</v>
      </c>
      <c r="T53" s="9">
        <f t="shared" si="7"/>
        <v>-3012</v>
      </c>
    </row>
    <row r="54" spans="1:21" x14ac:dyDescent="0.35">
      <c r="A54" s="27" t="s">
        <v>17</v>
      </c>
      <c r="B54" s="3">
        <v>0</v>
      </c>
      <c r="C54" s="3">
        <v>0</v>
      </c>
      <c r="D54" s="3"/>
      <c r="E54" s="4"/>
      <c r="F54" s="4">
        <f t="shared" si="2"/>
        <v>0</v>
      </c>
      <c r="G54" s="3">
        <f t="shared" si="1"/>
        <v>0</v>
      </c>
      <c r="H54" s="3">
        <f t="shared" si="3"/>
        <v>0</v>
      </c>
      <c r="I54" s="3">
        <f t="shared" si="4"/>
        <v>0</v>
      </c>
      <c r="J54" s="3">
        <f t="shared" si="5"/>
        <v>0</v>
      </c>
      <c r="K54" s="26">
        <f>G54*0.97/0.75</f>
        <v>0</v>
      </c>
      <c r="M54">
        <f t="shared" si="6"/>
        <v>0</v>
      </c>
      <c r="N54" s="27" t="s">
        <v>17</v>
      </c>
      <c r="O54" s="4">
        <v>0</v>
      </c>
      <c r="P54" s="3"/>
      <c r="R54">
        <v>1386</v>
      </c>
      <c r="T54" s="9">
        <f t="shared" si="7"/>
        <v>-1386</v>
      </c>
    </row>
    <row r="55" spans="1:21" x14ac:dyDescent="0.35">
      <c r="A55" s="45" t="s">
        <v>18</v>
      </c>
      <c r="B55" s="3">
        <v>1884</v>
      </c>
      <c r="C55" s="3">
        <v>1884</v>
      </c>
      <c r="D55" s="3"/>
      <c r="E55" s="4"/>
      <c r="F55" s="4">
        <f t="shared" si="2"/>
        <v>0</v>
      </c>
      <c r="G55" s="3">
        <f t="shared" si="1"/>
        <v>1884</v>
      </c>
      <c r="H55" s="3">
        <f t="shared" si="3"/>
        <v>24.789473684210527</v>
      </c>
      <c r="I55" s="3">
        <f t="shared" si="4"/>
        <v>1859.2105263157894</v>
      </c>
      <c r="J55" s="3">
        <f t="shared" si="5"/>
        <v>2478.9473684210525</v>
      </c>
      <c r="K55" s="26">
        <f>G55*0.97/0.75</f>
        <v>2436.64</v>
      </c>
      <c r="L55">
        <v>56</v>
      </c>
      <c r="M55">
        <f t="shared" si="6"/>
        <v>136451.84</v>
      </c>
      <c r="N55" s="27" t="s">
        <v>18</v>
      </c>
      <c r="O55" s="4">
        <v>2478.9473684210525</v>
      </c>
      <c r="P55" s="3"/>
      <c r="R55">
        <v>5290</v>
      </c>
      <c r="T55" s="9">
        <f t="shared" si="7"/>
        <v>-2811.0526315789475</v>
      </c>
      <c r="U55" t="s">
        <v>72</v>
      </c>
    </row>
    <row r="56" spans="1:21" x14ac:dyDescent="0.35">
      <c r="A56" s="45" t="s">
        <v>19</v>
      </c>
      <c r="B56" s="3">
        <v>478</v>
      </c>
      <c r="C56" s="3">
        <v>478</v>
      </c>
      <c r="D56" s="3"/>
      <c r="E56" s="4"/>
      <c r="F56" s="4">
        <f t="shared" si="2"/>
        <v>0</v>
      </c>
      <c r="G56" s="3">
        <f t="shared" si="1"/>
        <v>478</v>
      </c>
      <c r="H56" s="3">
        <f t="shared" si="3"/>
        <v>6.2894736842105265</v>
      </c>
      <c r="I56" s="3">
        <f t="shared" si="4"/>
        <v>471.71052631578948</v>
      </c>
      <c r="J56" s="3">
        <f t="shared" si="5"/>
        <v>628.9473684210526</v>
      </c>
      <c r="K56" s="26">
        <f>G56*0.97/0.75</f>
        <v>618.21333333333325</v>
      </c>
      <c r="L56">
        <v>56</v>
      </c>
      <c r="M56">
        <f t="shared" si="6"/>
        <v>34619.946666666663</v>
      </c>
      <c r="N56" s="27" t="s">
        <v>19</v>
      </c>
      <c r="O56" s="4">
        <v>628.9473684210526</v>
      </c>
      <c r="P56" s="3"/>
      <c r="R56">
        <v>998</v>
      </c>
      <c r="T56" s="9">
        <f t="shared" si="7"/>
        <v>-369.0526315789474</v>
      </c>
    </row>
    <row r="57" spans="1:21" x14ac:dyDescent="0.35">
      <c r="A57" s="27" t="s">
        <v>20</v>
      </c>
      <c r="B57" s="3">
        <v>350</v>
      </c>
      <c r="C57" s="3">
        <v>350</v>
      </c>
      <c r="D57" s="3"/>
      <c r="E57" s="4"/>
      <c r="F57" s="4">
        <f t="shared" si="2"/>
        <v>0</v>
      </c>
      <c r="G57" s="3">
        <f t="shared" si="1"/>
        <v>350</v>
      </c>
      <c r="H57" s="3">
        <f t="shared" si="3"/>
        <v>4.6052631578947372</v>
      </c>
      <c r="I57" s="3">
        <f t="shared" si="4"/>
        <v>345.39473684210526</v>
      </c>
      <c r="J57" s="3">
        <f t="shared" si="5"/>
        <v>460.5263157894737</v>
      </c>
      <c r="K57" s="26">
        <f>G57*0.97/0.75</f>
        <v>452.66666666666669</v>
      </c>
      <c r="L57">
        <v>56</v>
      </c>
      <c r="M57">
        <f t="shared" si="6"/>
        <v>25349.333333333336</v>
      </c>
      <c r="N57" s="27" t="s">
        <v>20</v>
      </c>
      <c r="O57" s="4">
        <v>460.5263157894737</v>
      </c>
      <c r="P57" s="3"/>
      <c r="R57">
        <v>2150</v>
      </c>
      <c r="T57" s="9">
        <f t="shared" si="7"/>
        <v>-1689.4736842105262</v>
      </c>
    </row>
    <row r="58" spans="1:21" x14ac:dyDescent="0.35">
      <c r="K58" s="51">
        <f>SUM(K39:K57)</f>
        <v>46642.533333333333</v>
      </c>
      <c r="M58">
        <f>SUM(M39:M57)</f>
        <v>1680118.5</v>
      </c>
    </row>
    <row r="59" spans="1:21" x14ac:dyDescent="0.35">
      <c r="C59" s="2"/>
      <c r="H59" s="30" t="s">
        <v>83</v>
      </c>
      <c r="I59" s="30"/>
      <c r="J59" s="30"/>
    </row>
    <row r="60" spans="1:21" x14ac:dyDescent="0.35">
      <c r="C60" s="2"/>
      <c r="F60" t="s">
        <v>55</v>
      </c>
      <c r="H60" s="30" t="s">
        <v>56</v>
      </c>
      <c r="I60" s="30"/>
      <c r="J60" s="30"/>
      <c r="K60" t="s">
        <v>57</v>
      </c>
    </row>
    <row r="61" spans="1:21" x14ac:dyDescent="0.35">
      <c r="A61" s="12" t="s">
        <v>58</v>
      </c>
      <c r="C61" s="12">
        <f>D29</f>
        <v>7244</v>
      </c>
      <c r="D61" s="12">
        <v>180</v>
      </c>
      <c r="E61" s="12">
        <v>220</v>
      </c>
      <c r="F61" s="36">
        <f>F46</f>
        <v>145</v>
      </c>
      <c r="G61" s="12"/>
      <c r="H61" s="31">
        <v>280</v>
      </c>
      <c r="I61" s="32"/>
      <c r="J61" s="32"/>
      <c r="K61" s="33">
        <f>H61/C61</f>
        <v>3.8652678078409719E-2</v>
      </c>
    </row>
    <row r="62" spans="1:21" x14ac:dyDescent="0.35">
      <c r="A62" s="14" t="s">
        <v>59</v>
      </c>
      <c r="C62" s="14">
        <f>D27</f>
        <v>15038</v>
      </c>
      <c r="D62" s="14">
        <v>456</v>
      </c>
      <c r="E62" s="14">
        <v>1250</v>
      </c>
      <c r="F62" s="13">
        <f>F41+F45</f>
        <v>451</v>
      </c>
      <c r="G62" s="14"/>
      <c r="H62" s="31">
        <v>1600</v>
      </c>
      <c r="I62" s="32"/>
      <c r="J62" s="32"/>
      <c r="K62" s="33">
        <v>3.9946424794980846E-2</v>
      </c>
    </row>
    <row r="63" spans="1:21" x14ac:dyDescent="0.35">
      <c r="A63" s="39" t="s">
        <v>23</v>
      </c>
      <c r="C63" s="39">
        <f>D32</f>
        <v>7438</v>
      </c>
      <c r="D63" s="39">
        <v>220</v>
      </c>
      <c r="E63" s="39">
        <v>0</v>
      </c>
      <c r="F63" s="37">
        <f>F47</f>
        <v>114</v>
      </c>
      <c r="G63" s="39"/>
      <c r="H63" s="31">
        <v>114</v>
      </c>
      <c r="I63" s="32"/>
      <c r="J63" s="32"/>
      <c r="K63" s="33">
        <v>2.0102339181286549E-2</v>
      </c>
      <c r="L63" t="s">
        <v>91</v>
      </c>
    </row>
    <row r="69" spans="1:14" x14ac:dyDescent="0.35">
      <c r="A69" s="49" t="s">
        <v>84</v>
      </c>
      <c r="D69" t="s">
        <v>42</v>
      </c>
      <c r="E69" t="s">
        <v>73</v>
      </c>
      <c r="K69" t="s">
        <v>74</v>
      </c>
      <c r="N69" s="30" t="s">
        <v>69</v>
      </c>
    </row>
    <row r="70" spans="1:14" x14ac:dyDescent="0.35">
      <c r="A70">
        <v>2023</v>
      </c>
      <c r="C70" t="s">
        <v>27</v>
      </c>
      <c r="D70" t="s">
        <v>28</v>
      </c>
      <c r="E70" s="2" t="s">
        <v>1</v>
      </c>
      <c r="N70" s="43"/>
    </row>
    <row r="71" spans="1:14" x14ac:dyDescent="0.35">
      <c r="A71" s="17" t="s">
        <v>29</v>
      </c>
      <c r="B71" s="17"/>
      <c r="C71" s="3"/>
      <c r="D71" s="3">
        <v>2052</v>
      </c>
      <c r="E71" s="4">
        <f>(D71-(D71/228*3))*0.99/0.75</f>
        <v>2673</v>
      </c>
      <c r="K71" s="3">
        <v>579</v>
      </c>
      <c r="N71" s="47">
        <f>E71-K71</f>
        <v>2094</v>
      </c>
    </row>
    <row r="72" spans="1:14" x14ac:dyDescent="0.35">
      <c r="A72" s="17" t="s">
        <v>30</v>
      </c>
      <c r="B72" s="17"/>
      <c r="C72" s="3"/>
      <c r="D72" s="3">
        <v>2052</v>
      </c>
      <c r="E72" s="4">
        <f t="shared" ref="E72:E79" si="9">(D72-(D72/228*3))*0.99/0.75</f>
        <v>2673</v>
      </c>
      <c r="K72" s="3">
        <v>387</v>
      </c>
      <c r="N72" s="47">
        <f t="shared" ref="N72:N79" si="10">E72-K72</f>
        <v>2286</v>
      </c>
    </row>
    <row r="73" spans="1:14" x14ac:dyDescent="0.35">
      <c r="A73" s="17" t="s">
        <v>31</v>
      </c>
      <c r="B73" s="17"/>
      <c r="C73" s="3"/>
      <c r="D73" s="3">
        <v>3876</v>
      </c>
      <c r="E73" s="42">
        <f t="shared" si="9"/>
        <v>5049</v>
      </c>
      <c r="F73" s="20" t="s">
        <v>66</v>
      </c>
      <c r="K73" s="3">
        <v>5003</v>
      </c>
      <c r="N73" s="47">
        <f t="shared" si="10"/>
        <v>46</v>
      </c>
    </row>
    <row r="74" spans="1:14" x14ac:dyDescent="0.35">
      <c r="A74" s="17" t="s">
        <v>32</v>
      </c>
      <c r="B74" s="17"/>
      <c r="C74" s="3"/>
      <c r="D74" s="3">
        <v>684</v>
      </c>
      <c r="E74" s="4">
        <f t="shared" si="9"/>
        <v>891</v>
      </c>
      <c r="K74" s="3">
        <v>711</v>
      </c>
      <c r="N74" s="47">
        <f t="shared" si="10"/>
        <v>180</v>
      </c>
    </row>
    <row r="75" spans="1:14" x14ac:dyDescent="0.35">
      <c r="A75" s="17" t="s">
        <v>33</v>
      </c>
      <c r="B75" s="17"/>
      <c r="C75" s="3"/>
      <c r="D75" s="3">
        <v>684</v>
      </c>
      <c r="E75" s="4">
        <f t="shared" si="9"/>
        <v>891</v>
      </c>
      <c r="K75" s="3">
        <v>671</v>
      </c>
      <c r="N75" s="47">
        <f t="shared" si="10"/>
        <v>220</v>
      </c>
    </row>
    <row r="76" spans="1:14" x14ac:dyDescent="0.35">
      <c r="A76" s="17" t="s">
        <v>34</v>
      </c>
      <c r="B76" s="17"/>
      <c r="C76" s="3"/>
      <c r="D76" s="3">
        <v>1140</v>
      </c>
      <c r="E76" s="4">
        <f t="shared" si="9"/>
        <v>1485</v>
      </c>
      <c r="K76" s="3">
        <v>882</v>
      </c>
      <c r="N76" s="47">
        <f t="shared" si="10"/>
        <v>603</v>
      </c>
    </row>
    <row r="77" spans="1:14" x14ac:dyDescent="0.35">
      <c r="A77" s="3" t="s">
        <v>35</v>
      </c>
      <c r="B77" s="3"/>
      <c r="C77" s="3"/>
      <c r="D77" s="3">
        <v>912</v>
      </c>
      <c r="E77" s="4">
        <f t="shared" si="9"/>
        <v>1188</v>
      </c>
      <c r="K77" s="3">
        <v>861</v>
      </c>
      <c r="N77" s="47">
        <f t="shared" si="10"/>
        <v>327</v>
      </c>
    </row>
    <row r="78" spans="1:14" x14ac:dyDescent="0.35">
      <c r="A78" s="3" t="s">
        <v>36</v>
      </c>
      <c r="B78" s="3"/>
      <c r="C78" s="3"/>
      <c r="D78" s="3">
        <v>684</v>
      </c>
      <c r="E78" s="4">
        <f t="shared" si="9"/>
        <v>891</v>
      </c>
      <c r="K78" s="3">
        <v>426</v>
      </c>
      <c r="N78" s="47">
        <f t="shared" si="10"/>
        <v>465</v>
      </c>
    </row>
    <row r="79" spans="1:14" x14ac:dyDescent="0.35">
      <c r="A79" s="3" t="s">
        <v>37</v>
      </c>
      <c r="B79" s="3"/>
      <c r="C79" s="3">
        <v>5814</v>
      </c>
      <c r="D79" s="3">
        <f>C79-C82</f>
        <v>5277.06</v>
      </c>
      <c r="E79" s="42">
        <f t="shared" si="9"/>
        <v>6874.0649999999996</v>
      </c>
      <c r="F79" s="20" t="s">
        <v>67</v>
      </c>
      <c r="K79" s="3">
        <v>5480</v>
      </c>
      <c r="N79" s="47">
        <f t="shared" si="10"/>
        <v>1394.0649999999996</v>
      </c>
    </row>
    <row r="80" spans="1:14" x14ac:dyDescent="0.35">
      <c r="A80" s="18" t="s">
        <v>38</v>
      </c>
      <c r="B80" s="1"/>
      <c r="C80" s="1"/>
      <c r="D80" s="1">
        <f>D71+D72+D73+D74+D75+D76+D77+D78+C79</f>
        <v>17898</v>
      </c>
      <c r="N80" s="30"/>
    </row>
    <row r="81" spans="1:9" x14ac:dyDescent="0.35">
      <c r="C81" s="19">
        <v>0.03</v>
      </c>
    </row>
    <row r="82" spans="1:9" x14ac:dyDescent="0.35">
      <c r="A82" s="1" t="s">
        <v>39</v>
      </c>
      <c r="B82" s="1"/>
      <c r="C82" s="1">
        <f>D80*0.03</f>
        <v>536.93999999999994</v>
      </c>
      <c r="D82" s="1" t="s">
        <v>40</v>
      </c>
      <c r="E82" t="s">
        <v>41</v>
      </c>
    </row>
    <row r="83" spans="1:9" x14ac:dyDescent="0.35">
      <c r="B83" t="s">
        <v>60</v>
      </c>
    </row>
    <row r="86" spans="1:9" x14ac:dyDescent="0.35">
      <c r="B86" t="s">
        <v>98</v>
      </c>
      <c r="G86" t="s">
        <v>105</v>
      </c>
    </row>
    <row r="87" spans="1:9" x14ac:dyDescent="0.35">
      <c r="B87" t="s">
        <v>97</v>
      </c>
      <c r="C87" t="s">
        <v>99</v>
      </c>
      <c r="D87" t="s">
        <v>100</v>
      </c>
      <c r="E87" t="s">
        <v>101</v>
      </c>
      <c r="F87" t="s">
        <v>102</v>
      </c>
      <c r="G87" t="s">
        <v>103</v>
      </c>
      <c r="H87" t="s">
        <v>104</v>
      </c>
      <c r="I87" t="s">
        <v>106</v>
      </c>
    </row>
    <row r="88" spans="1:9" x14ac:dyDescent="0.35">
      <c r="A88" s="25" t="s">
        <v>2</v>
      </c>
      <c r="B88">
        <v>1030.2631578947369</v>
      </c>
      <c r="C88" s="3">
        <f>B88/0.75</f>
        <v>1373.6842105263158</v>
      </c>
      <c r="D88" s="3">
        <v>1320</v>
      </c>
      <c r="E88" s="4">
        <v>1198</v>
      </c>
      <c r="F88" s="4">
        <f>D88-E88</f>
        <v>122</v>
      </c>
      <c r="G88" s="3"/>
      <c r="H88" s="3"/>
      <c r="I88" s="48">
        <f>F88-G88-H88</f>
        <v>122</v>
      </c>
    </row>
    <row r="89" spans="1:9" x14ac:dyDescent="0.35">
      <c r="A89" s="27" t="s">
        <v>3</v>
      </c>
      <c r="B89">
        <v>675</v>
      </c>
      <c r="C89" s="3">
        <f t="shared" ref="C89:C105" si="11">B89/0.75</f>
        <v>900</v>
      </c>
      <c r="D89" s="3">
        <v>850</v>
      </c>
      <c r="E89" s="4">
        <v>723</v>
      </c>
      <c r="F89" s="4">
        <f t="shared" ref="F89:F105" si="12">D89-E89</f>
        <v>127</v>
      </c>
      <c r="G89" s="3">
        <v>60</v>
      </c>
      <c r="H89" s="3">
        <v>36</v>
      </c>
      <c r="I89" s="48">
        <f t="shared" ref="I89:I105" si="13">F89-G89-H89</f>
        <v>31</v>
      </c>
    </row>
    <row r="90" spans="1:9" x14ac:dyDescent="0.35">
      <c r="A90" s="45" t="s">
        <v>4</v>
      </c>
      <c r="B90">
        <v>2028.9473684210527</v>
      </c>
      <c r="C90" s="3">
        <f t="shared" si="11"/>
        <v>2705.2631578947371</v>
      </c>
      <c r="D90" s="28">
        <v>2650</v>
      </c>
      <c r="E90" s="13">
        <v>2066</v>
      </c>
      <c r="F90" s="4">
        <f t="shared" si="12"/>
        <v>584</v>
      </c>
      <c r="G90" s="3"/>
      <c r="H90" s="3"/>
      <c r="I90" s="48">
        <f t="shared" si="13"/>
        <v>584</v>
      </c>
    </row>
    <row r="91" spans="1:9" x14ac:dyDescent="0.35">
      <c r="A91" s="27" t="s">
        <v>6</v>
      </c>
      <c r="B91">
        <v>471.71052631578948</v>
      </c>
      <c r="C91" s="3">
        <f t="shared" si="11"/>
        <v>628.9473684210526</v>
      </c>
      <c r="D91" s="3">
        <v>600</v>
      </c>
      <c r="E91" s="4">
        <v>579</v>
      </c>
      <c r="F91" s="4">
        <f t="shared" si="12"/>
        <v>21</v>
      </c>
      <c r="G91" s="3"/>
      <c r="H91" s="3"/>
      <c r="I91" s="48">
        <f t="shared" si="13"/>
        <v>21</v>
      </c>
    </row>
    <row r="92" spans="1:9" x14ac:dyDescent="0.35">
      <c r="A92" s="45" t="s">
        <v>7</v>
      </c>
      <c r="B92">
        <v>844.73684210526312</v>
      </c>
      <c r="C92" s="3">
        <f t="shared" si="11"/>
        <v>1126.3157894736842</v>
      </c>
      <c r="D92" s="3">
        <v>1100</v>
      </c>
      <c r="E92" s="4">
        <v>1012</v>
      </c>
      <c r="F92" s="4">
        <f t="shared" si="12"/>
        <v>88</v>
      </c>
      <c r="G92" s="3">
        <v>12</v>
      </c>
      <c r="H92" s="3">
        <v>12</v>
      </c>
      <c r="I92" s="48">
        <f t="shared" si="13"/>
        <v>64</v>
      </c>
    </row>
    <row r="93" spans="1:9" x14ac:dyDescent="0.35">
      <c r="A93" s="27" t="s">
        <v>8</v>
      </c>
      <c r="B93">
        <v>1014.4736842105264</v>
      </c>
      <c r="C93" s="3">
        <f t="shared" si="11"/>
        <v>1352.6315789473686</v>
      </c>
      <c r="D93" s="3">
        <v>1320</v>
      </c>
      <c r="E93" s="4">
        <v>1135</v>
      </c>
      <c r="F93" s="4">
        <f t="shared" si="12"/>
        <v>185</v>
      </c>
      <c r="G93" s="3">
        <v>12</v>
      </c>
      <c r="H93" s="3">
        <v>12</v>
      </c>
      <c r="I93" s="48">
        <f t="shared" si="13"/>
        <v>161</v>
      </c>
    </row>
    <row r="94" spans="1:9" x14ac:dyDescent="0.35">
      <c r="A94" s="45" t="s">
        <v>9</v>
      </c>
      <c r="B94">
        <v>4500.9868421052633</v>
      </c>
      <c r="C94" s="3">
        <f t="shared" si="11"/>
        <v>6001.3157894736842</v>
      </c>
      <c r="D94" s="53">
        <v>5980</v>
      </c>
      <c r="E94" s="13">
        <v>5480</v>
      </c>
      <c r="F94" s="4">
        <f t="shared" si="12"/>
        <v>500</v>
      </c>
      <c r="G94" s="3"/>
      <c r="H94" s="3"/>
      <c r="I94" s="48">
        <f t="shared" si="13"/>
        <v>500</v>
      </c>
    </row>
    <row r="95" spans="1:9" x14ac:dyDescent="0.35">
      <c r="A95" s="25" t="s">
        <v>10</v>
      </c>
      <c r="B95">
        <v>5975.3289473684208</v>
      </c>
      <c r="C95" s="3">
        <f t="shared" si="11"/>
        <v>7967.1052631578941</v>
      </c>
      <c r="D95" s="28">
        <v>7948</v>
      </c>
      <c r="E95" s="40">
        <v>5394</v>
      </c>
      <c r="F95" s="4">
        <f t="shared" si="12"/>
        <v>2554</v>
      </c>
      <c r="G95" s="3">
        <v>300</v>
      </c>
      <c r="H95" s="3">
        <v>240</v>
      </c>
      <c r="I95" s="48">
        <f t="shared" si="13"/>
        <v>2014</v>
      </c>
    </row>
    <row r="96" spans="1:9" x14ac:dyDescent="0.35">
      <c r="A96" s="46" t="s">
        <v>11</v>
      </c>
      <c r="B96">
        <v>7227.6315789473683</v>
      </c>
      <c r="C96" s="3">
        <f t="shared" si="11"/>
        <v>9636.8421052631584</v>
      </c>
      <c r="D96" s="28">
        <v>9500</v>
      </c>
      <c r="E96" s="4">
        <v>8313</v>
      </c>
      <c r="F96" s="4">
        <f t="shared" si="12"/>
        <v>1187</v>
      </c>
      <c r="G96" s="3">
        <v>120</v>
      </c>
      <c r="H96" s="3"/>
      <c r="I96" s="48">
        <f t="shared" si="13"/>
        <v>1067</v>
      </c>
    </row>
    <row r="97" spans="1:9" x14ac:dyDescent="0.35">
      <c r="A97" s="27" t="s">
        <v>12</v>
      </c>
      <c r="B97">
        <v>471.71052631578948</v>
      </c>
      <c r="C97" s="3">
        <f t="shared" si="11"/>
        <v>628.9473684210526</v>
      </c>
      <c r="D97" s="3">
        <v>600</v>
      </c>
      <c r="E97" s="4">
        <v>571</v>
      </c>
      <c r="F97" s="4">
        <f t="shared" si="12"/>
        <v>29</v>
      </c>
      <c r="G97" s="3">
        <v>24</v>
      </c>
      <c r="H97" s="3"/>
      <c r="I97" s="48">
        <f t="shared" si="13"/>
        <v>5</v>
      </c>
    </row>
    <row r="98" spans="1:9" x14ac:dyDescent="0.35">
      <c r="A98" s="45" t="s">
        <v>13</v>
      </c>
      <c r="B98">
        <v>246.71052631578948</v>
      </c>
      <c r="C98" s="3">
        <f t="shared" si="11"/>
        <v>328.94736842105266</v>
      </c>
      <c r="D98" s="3">
        <v>300</v>
      </c>
      <c r="E98" s="4">
        <v>257</v>
      </c>
      <c r="F98" s="4">
        <f t="shared" si="12"/>
        <v>43</v>
      </c>
      <c r="G98" s="3"/>
      <c r="H98" s="3"/>
      <c r="I98" s="48">
        <f t="shared" si="13"/>
        <v>43</v>
      </c>
    </row>
    <row r="99" spans="1:9" x14ac:dyDescent="0.35">
      <c r="A99" s="27" t="s">
        <v>14</v>
      </c>
      <c r="B99">
        <v>450</v>
      </c>
      <c r="C99" s="3">
        <f t="shared" si="11"/>
        <v>600</v>
      </c>
      <c r="D99" s="3">
        <v>580</v>
      </c>
      <c r="E99" s="4">
        <v>566</v>
      </c>
      <c r="F99" s="4">
        <f t="shared" si="12"/>
        <v>14</v>
      </c>
      <c r="G99" s="3"/>
      <c r="H99" s="3"/>
      <c r="I99" s="48">
        <f t="shared" si="13"/>
        <v>14</v>
      </c>
    </row>
    <row r="100" spans="1:9" x14ac:dyDescent="0.35">
      <c r="A100" s="27" t="s">
        <v>15</v>
      </c>
      <c r="B100">
        <v>1014.4736842105264</v>
      </c>
      <c r="C100" s="3">
        <f t="shared" si="11"/>
        <v>1352.6315789473686</v>
      </c>
      <c r="D100" s="3">
        <v>1300</v>
      </c>
      <c r="E100" s="4">
        <v>1164</v>
      </c>
      <c r="F100" s="4">
        <f t="shared" si="12"/>
        <v>136</v>
      </c>
      <c r="G100" s="3">
        <v>12</v>
      </c>
      <c r="H100" s="3"/>
      <c r="I100" s="48">
        <f t="shared" si="13"/>
        <v>124</v>
      </c>
    </row>
    <row r="101" spans="1:9" x14ac:dyDescent="0.35">
      <c r="A101" s="27" t="s">
        <v>16</v>
      </c>
      <c r="B101">
        <v>0</v>
      </c>
      <c r="C101" s="3">
        <f t="shared" si="11"/>
        <v>0</v>
      </c>
      <c r="D101" s="3"/>
      <c r="E101" s="4"/>
      <c r="F101" s="4"/>
      <c r="G101" s="3"/>
      <c r="H101" s="3"/>
      <c r="I101" s="48">
        <f t="shared" si="13"/>
        <v>0</v>
      </c>
    </row>
    <row r="102" spans="1:9" x14ac:dyDescent="0.35">
      <c r="A102" s="27" t="s">
        <v>17</v>
      </c>
      <c r="B102">
        <v>0</v>
      </c>
      <c r="C102" s="3">
        <f t="shared" si="11"/>
        <v>0</v>
      </c>
      <c r="D102" s="3"/>
      <c r="E102" s="4"/>
      <c r="F102" s="4"/>
      <c r="G102" s="3"/>
      <c r="H102" s="3"/>
      <c r="I102" s="48">
        <f t="shared" si="13"/>
        <v>0</v>
      </c>
    </row>
    <row r="103" spans="1:9" x14ac:dyDescent="0.35">
      <c r="A103" s="45" t="s">
        <v>18</v>
      </c>
      <c r="B103">
        <v>1859.2105263157894</v>
      </c>
      <c r="C103" s="3">
        <f t="shared" si="11"/>
        <v>2478.9473684210525</v>
      </c>
      <c r="D103" s="3">
        <v>2400</v>
      </c>
      <c r="E103" s="4">
        <v>2277</v>
      </c>
      <c r="F103" s="4">
        <f t="shared" si="12"/>
        <v>123</v>
      </c>
      <c r="G103" s="3"/>
      <c r="H103" s="3"/>
      <c r="I103" s="48">
        <f t="shared" si="13"/>
        <v>123</v>
      </c>
    </row>
    <row r="104" spans="1:9" x14ac:dyDescent="0.35">
      <c r="A104" s="45" t="s">
        <v>19</v>
      </c>
      <c r="B104">
        <v>471.71052631578948</v>
      </c>
      <c r="C104" s="3">
        <f t="shared" si="11"/>
        <v>628.9473684210526</v>
      </c>
      <c r="D104" s="3">
        <v>600</v>
      </c>
      <c r="E104" s="4">
        <v>469</v>
      </c>
      <c r="F104" s="4">
        <f t="shared" si="12"/>
        <v>131</v>
      </c>
      <c r="G104" s="3">
        <v>60</v>
      </c>
      <c r="H104" s="3">
        <v>36</v>
      </c>
      <c r="I104" s="48">
        <f t="shared" si="13"/>
        <v>35</v>
      </c>
    </row>
    <row r="105" spans="1:9" x14ac:dyDescent="0.35">
      <c r="A105" s="27" t="s">
        <v>20</v>
      </c>
      <c r="B105">
        <v>345.39473684210526</v>
      </c>
      <c r="C105" s="3">
        <f t="shared" si="11"/>
        <v>460.5263157894737</v>
      </c>
      <c r="D105" s="3">
        <v>420</v>
      </c>
      <c r="E105" s="4">
        <v>399</v>
      </c>
      <c r="F105" s="4">
        <f t="shared" si="12"/>
        <v>21</v>
      </c>
      <c r="G105" s="3"/>
      <c r="H105" s="3"/>
      <c r="I105" s="48">
        <f t="shared" si="13"/>
        <v>21</v>
      </c>
    </row>
    <row r="106" spans="1:9" x14ac:dyDescent="0.35">
      <c r="G106">
        <f>SUM(G88:G105)</f>
        <v>600</v>
      </c>
      <c r="H106">
        <f>SUM(H88:H105)</f>
        <v>336</v>
      </c>
    </row>
  </sheetData>
  <mergeCells count="1">
    <mergeCell ref="G26:K26"/>
  </mergeCells>
  <pageMargins left="0.7" right="0.7" top="0.75" bottom="0.75" header="0.3" footer="0.3"/>
  <pageSetup paperSize="9" scale="3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C63DE-DDD3-4E96-A3C5-ACFA7449F225}">
  <dimension ref="A3:H23"/>
  <sheetViews>
    <sheetView workbookViewId="0">
      <selection activeCell="A3" sqref="A3:G25"/>
    </sheetView>
  </sheetViews>
  <sheetFormatPr baseColWidth="10" defaultRowHeight="14.5" x14ac:dyDescent="0.35"/>
  <cols>
    <col min="1" max="1" width="33.81640625" bestFit="1" customWidth="1"/>
    <col min="7" max="7" width="14.7265625" bestFit="1" customWidth="1"/>
    <col min="8" max="8" width="10.90625" style="22"/>
  </cols>
  <sheetData>
    <row r="3" spans="1:8" x14ac:dyDescent="0.35">
      <c r="B3">
        <v>2023</v>
      </c>
    </row>
    <row r="4" spans="1:8" x14ac:dyDescent="0.35">
      <c r="A4" t="s">
        <v>87</v>
      </c>
      <c r="B4" t="s">
        <v>26</v>
      </c>
      <c r="C4" t="s">
        <v>75</v>
      </c>
      <c r="D4" s="19">
        <v>20.239999999999998</v>
      </c>
      <c r="F4" t="s">
        <v>88</v>
      </c>
      <c r="G4" t="s">
        <v>89</v>
      </c>
      <c r="H4" s="22" t="s">
        <v>90</v>
      </c>
    </row>
    <row r="5" spans="1:8" x14ac:dyDescent="0.35">
      <c r="A5" s="25" t="s">
        <v>2</v>
      </c>
      <c r="B5" s="50">
        <v>1514</v>
      </c>
      <c r="C5" s="3">
        <v>1044</v>
      </c>
      <c r="D5" s="3">
        <f>C5/B5*100</f>
        <v>68.956406869220615</v>
      </c>
      <c r="E5" s="3">
        <v>65</v>
      </c>
      <c r="F5" s="3">
        <v>2000</v>
      </c>
      <c r="G5" s="3">
        <v>1350</v>
      </c>
      <c r="H5" s="52">
        <f>G5/F5*100</f>
        <v>67.5</v>
      </c>
    </row>
    <row r="6" spans="1:8" x14ac:dyDescent="0.35">
      <c r="A6" s="27" t="s">
        <v>3</v>
      </c>
      <c r="B6" s="50">
        <v>1540</v>
      </c>
      <c r="C6" s="3">
        <v>684</v>
      </c>
      <c r="D6" s="3">
        <f t="shared" ref="D6:D23" si="0">C6/B6*100</f>
        <v>44.415584415584412</v>
      </c>
      <c r="E6" s="3">
        <v>44</v>
      </c>
      <c r="F6" s="3">
        <v>2006</v>
      </c>
      <c r="G6" s="3">
        <v>885</v>
      </c>
      <c r="H6" s="52">
        <f t="shared" ref="H6:H22" si="1">G6/F6*100</f>
        <v>44.117647058823529</v>
      </c>
    </row>
    <row r="7" spans="1:8" x14ac:dyDescent="0.35">
      <c r="A7" s="45" t="s">
        <v>4</v>
      </c>
      <c r="B7" s="50">
        <v>4261</v>
      </c>
      <c r="C7" s="3">
        <v>2056</v>
      </c>
      <c r="D7" s="3">
        <f t="shared" si="0"/>
        <v>48.251584135179534</v>
      </c>
      <c r="E7" s="3">
        <v>45</v>
      </c>
      <c r="F7" s="3">
        <v>4411</v>
      </c>
      <c r="G7" s="3">
        <v>1881</v>
      </c>
      <c r="H7" s="52">
        <f t="shared" si="1"/>
        <v>42.643391521197003</v>
      </c>
    </row>
    <row r="8" spans="1:8" x14ac:dyDescent="0.35">
      <c r="A8" s="27" t="s">
        <v>6</v>
      </c>
      <c r="B8" s="50">
        <v>1940</v>
      </c>
      <c r="C8" s="3">
        <v>478</v>
      </c>
      <c r="D8" s="3">
        <f t="shared" si="0"/>
        <v>24.63917525773196</v>
      </c>
      <c r="E8" s="3">
        <v>25</v>
      </c>
      <c r="F8" s="3">
        <v>2527</v>
      </c>
      <c r="G8" s="3">
        <v>618</v>
      </c>
      <c r="H8" s="52">
        <f t="shared" si="1"/>
        <v>24.455876533438861</v>
      </c>
    </row>
    <row r="9" spans="1:8" x14ac:dyDescent="0.35">
      <c r="A9" s="45" t="s">
        <v>7</v>
      </c>
      <c r="B9" s="50">
        <v>2506</v>
      </c>
      <c r="C9" s="3">
        <v>856</v>
      </c>
      <c r="D9" s="3">
        <f t="shared" si="0"/>
        <v>34.158020750199519</v>
      </c>
      <c r="E9" s="3">
        <v>35</v>
      </c>
      <c r="F9" s="3">
        <v>3210</v>
      </c>
      <c r="G9" s="3">
        <v>1004</v>
      </c>
      <c r="H9" s="52">
        <f t="shared" si="1"/>
        <v>31.277258566978194</v>
      </c>
    </row>
    <row r="10" spans="1:8" x14ac:dyDescent="0.35">
      <c r="A10" s="27" t="s">
        <v>8</v>
      </c>
      <c r="B10" s="50">
        <v>2374</v>
      </c>
      <c r="C10" s="3">
        <v>1028</v>
      </c>
      <c r="D10" s="3">
        <f t="shared" si="0"/>
        <v>43.302443133951137</v>
      </c>
      <c r="E10" s="3">
        <v>45</v>
      </c>
      <c r="F10" s="3">
        <v>3034</v>
      </c>
      <c r="G10" s="3">
        <v>1206</v>
      </c>
      <c r="H10" s="52">
        <f t="shared" si="1"/>
        <v>39.749505603164145</v>
      </c>
    </row>
    <row r="11" spans="1:8" x14ac:dyDescent="0.35">
      <c r="A11" s="45" t="s">
        <v>9</v>
      </c>
      <c r="B11" s="50">
        <v>11564</v>
      </c>
      <c r="C11" s="3">
        <v>5012</v>
      </c>
      <c r="D11" s="3">
        <f t="shared" si="0"/>
        <v>43.341404358353515</v>
      </c>
      <c r="E11" s="3">
        <v>43</v>
      </c>
      <c r="F11" s="3">
        <v>14617</v>
      </c>
      <c r="G11" s="3">
        <v>5892</v>
      </c>
      <c r="H11" s="52">
        <f t="shared" si="1"/>
        <v>40.309228979954845</v>
      </c>
    </row>
    <row r="12" spans="1:8" x14ac:dyDescent="0.35">
      <c r="A12" s="25" t="s">
        <v>10</v>
      </c>
      <c r="B12" s="50">
        <v>5446</v>
      </c>
      <c r="C12" s="3">
        <v>6200</v>
      </c>
      <c r="D12" s="3">
        <f t="shared" si="0"/>
        <v>113.84502387073081</v>
      </c>
      <c r="E12" s="3">
        <v>100</v>
      </c>
      <c r="F12" s="3">
        <v>6930</v>
      </c>
      <c r="G12" s="3">
        <v>7633</v>
      </c>
      <c r="H12" s="52">
        <f t="shared" si="1"/>
        <v>110.14430014430015</v>
      </c>
    </row>
    <row r="13" spans="1:8" x14ac:dyDescent="0.35">
      <c r="A13" s="46" t="s">
        <v>11</v>
      </c>
      <c r="B13" s="50">
        <v>10944</v>
      </c>
      <c r="C13" s="3">
        <v>7438</v>
      </c>
      <c r="D13" s="3">
        <f t="shared" si="0"/>
        <v>67.964181286549703</v>
      </c>
      <c r="E13" s="3">
        <v>70</v>
      </c>
      <c r="F13" s="3">
        <v>13800</v>
      </c>
      <c r="G13" s="3">
        <v>9335</v>
      </c>
      <c r="H13" s="52">
        <f t="shared" si="1"/>
        <v>67.644927536231876</v>
      </c>
    </row>
    <row r="14" spans="1:8" x14ac:dyDescent="0.35">
      <c r="A14" s="27" t="s">
        <v>12</v>
      </c>
      <c r="B14" s="50">
        <v>1606</v>
      </c>
      <c r="C14" s="3">
        <v>478</v>
      </c>
      <c r="D14" s="3">
        <f t="shared" si="0"/>
        <v>29.763387297633876</v>
      </c>
      <c r="E14" s="3">
        <v>30</v>
      </c>
      <c r="F14" s="3">
        <v>2092</v>
      </c>
      <c r="G14" s="3">
        <v>618</v>
      </c>
      <c r="H14" s="52">
        <f t="shared" si="1"/>
        <v>29.541108986615676</v>
      </c>
    </row>
    <row r="15" spans="1:8" x14ac:dyDescent="0.35">
      <c r="A15" s="45" t="s">
        <v>13</v>
      </c>
      <c r="B15" s="50">
        <v>684</v>
      </c>
      <c r="C15" s="3">
        <v>250</v>
      </c>
      <c r="D15" s="3">
        <f t="shared" si="0"/>
        <v>36.549707602339183</v>
      </c>
      <c r="E15" s="3">
        <v>35</v>
      </c>
      <c r="F15" s="3">
        <v>873</v>
      </c>
      <c r="G15" s="3">
        <v>323</v>
      </c>
      <c r="H15" s="52">
        <f t="shared" si="1"/>
        <v>36.998854524627724</v>
      </c>
    </row>
    <row r="16" spans="1:8" x14ac:dyDescent="0.35">
      <c r="A16" s="27" t="s">
        <v>14</v>
      </c>
      <c r="B16" s="50">
        <v>1734</v>
      </c>
      <c r="C16" s="3">
        <v>456</v>
      </c>
      <c r="D16" s="3">
        <f t="shared" si="0"/>
        <v>26.297577854671278</v>
      </c>
      <c r="E16" s="3">
        <v>25</v>
      </c>
      <c r="F16" s="3">
        <v>2259</v>
      </c>
      <c r="G16" s="3">
        <v>590</v>
      </c>
      <c r="H16" s="52">
        <f t="shared" si="1"/>
        <v>26.117751217352815</v>
      </c>
    </row>
    <row r="17" spans="1:8" x14ac:dyDescent="0.35">
      <c r="A17" s="27" t="s">
        <v>15</v>
      </c>
      <c r="B17" s="50">
        <v>1856</v>
      </c>
      <c r="C17" s="3">
        <v>1028</v>
      </c>
      <c r="D17" s="3">
        <f t="shared" si="0"/>
        <v>55.387931034482762</v>
      </c>
      <c r="E17" s="3">
        <v>55</v>
      </c>
      <c r="F17" s="3">
        <v>2326</v>
      </c>
      <c r="G17" s="3">
        <v>1206</v>
      </c>
      <c r="H17" s="52">
        <f t="shared" si="1"/>
        <v>51.84866723989682</v>
      </c>
    </row>
    <row r="18" spans="1:8" x14ac:dyDescent="0.35">
      <c r="A18" s="27" t="s">
        <v>16</v>
      </c>
      <c r="B18" s="50">
        <v>2402</v>
      </c>
      <c r="C18" s="3">
        <v>0</v>
      </c>
      <c r="D18" s="3">
        <f t="shared" si="0"/>
        <v>0</v>
      </c>
      <c r="E18" s="3"/>
      <c r="F18" s="3"/>
      <c r="G18" s="3"/>
      <c r="H18" s="52"/>
    </row>
    <row r="19" spans="1:8" x14ac:dyDescent="0.35">
      <c r="A19" s="27" t="s">
        <v>17</v>
      </c>
      <c r="B19" s="50">
        <v>1142</v>
      </c>
      <c r="C19" s="3">
        <v>0</v>
      </c>
      <c r="D19" s="3">
        <f t="shared" si="0"/>
        <v>0</v>
      </c>
      <c r="E19" s="3"/>
      <c r="F19" s="3"/>
      <c r="G19" s="3"/>
      <c r="H19" s="52"/>
    </row>
    <row r="20" spans="1:8" x14ac:dyDescent="0.35">
      <c r="A20" s="45" t="s">
        <v>18</v>
      </c>
      <c r="B20" s="50">
        <v>5370</v>
      </c>
      <c r="C20" s="3">
        <v>1884</v>
      </c>
      <c r="D20" s="3">
        <f t="shared" si="0"/>
        <v>35.083798882681563</v>
      </c>
      <c r="E20" s="3">
        <v>35</v>
      </c>
      <c r="F20" s="3">
        <v>6871</v>
      </c>
      <c r="G20" s="3">
        <v>2437</v>
      </c>
      <c r="H20" s="52">
        <f t="shared" si="1"/>
        <v>35.467908601368073</v>
      </c>
    </row>
    <row r="21" spans="1:8" x14ac:dyDescent="0.35">
      <c r="A21" s="45" t="s">
        <v>19</v>
      </c>
      <c r="B21" s="50">
        <v>1526</v>
      </c>
      <c r="C21" s="3">
        <v>478</v>
      </c>
      <c r="D21" s="3">
        <f t="shared" si="0"/>
        <v>31.323722149410223</v>
      </c>
      <c r="E21" s="3">
        <v>30</v>
      </c>
      <c r="F21" s="3">
        <v>1988</v>
      </c>
      <c r="G21" s="3">
        <v>618</v>
      </c>
      <c r="H21" s="52">
        <f t="shared" si="1"/>
        <v>31.086519114688127</v>
      </c>
    </row>
    <row r="22" spans="1:8" x14ac:dyDescent="0.35">
      <c r="A22" s="27" t="s">
        <v>20</v>
      </c>
      <c r="B22" s="50">
        <v>1824</v>
      </c>
      <c r="C22" s="3">
        <v>350</v>
      </c>
      <c r="D22" s="3">
        <f t="shared" si="0"/>
        <v>19.188596491228072</v>
      </c>
      <c r="E22" s="3">
        <v>20</v>
      </c>
      <c r="F22" s="3">
        <v>2333</v>
      </c>
      <c r="G22" s="3">
        <v>453</v>
      </c>
      <c r="H22" s="52">
        <f t="shared" si="1"/>
        <v>19.417059579939991</v>
      </c>
    </row>
    <row r="23" spans="1:8" x14ac:dyDescent="0.35">
      <c r="B23">
        <f>SUM(B5:B22)</f>
        <v>60233</v>
      </c>
      <c r="C23">
        <f>SUM(C5:C22)</f>
        <v>29720</v>
      </c>
      <c r="D23">
        <f t="shared" si="0"/>
        <v>49.341722975777394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2025-09-17T08:43:27Z</cp:lastPrinted>
  <dcterms:created xsi:type="dcterms:W3CDTF">2024-07-26T11:38:55Z</dcterms:created>
  <dcterms:modified xsi:type="dcterms:W3CDTF">2025-11-04T13:33:46Z</dcterms:modified>
</cp:coreProperties>
</file>